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0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pril\Documents\Bryant &amp; Stratton\Past Classes\Accounting Classes\Acct207\"/>
    </mc:Choice>
  </mc:AlternateContent>
  <bookViews>
    <workbookView xWindow="0" yWindow="0" windowWidth="28800" windowHeight="11610" tabRatio="567" firstSheet="1" activeTab="4"/>
  </bookViews>
  <sheets>
    <sheet name="Wage &amp; Hours Worked" sheetId="2" r:id="rId1"/>
    <sheet name="Wages and FICA Taxes" sheetId="1" r:id="rId2"/>
    <sheet name="FIT, SIT, and CITP Taxes" sheetId="3" r:id="rId3"/>
    <sheet name="SUTA and FUTA" sheetId="8" r:id="rId4"/>
    <sheet name="Journal Entries" sheetId="9" r:id="rId5"/>
  </sheets>
  <calcPr calcId="171026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41" i="9" l="1"/>
  <c r="Y20" i="9"/>
  <c r="Y11" i="9"/>
  <c r="Y12" i="9"/>
  <c r="Y13" i="9"/>
  <c r="Y14" i="9"/>
  <c r="Y15" i="9"/>
  <c r="Y16" i="9"/>
  <c r="Y17" i="9"/>
  <c r="Y18" i="9"/>
  <c r="Y19" i="9"/>
  <c r="Y10" i="9"/>
  <c r="O37" i="9"/>
  <c r="O36" i="9"/>
  <c r="K25" i="9"/>
  <c r="K35" i="9"/>
  <c r="F34" i="9" s="1"/>
  <c r="K30" i="9"/>
  <c r="F29" i="9" s="1"/>
  <c r="U20" i="9"/>
  <c r="V20" i="9"/>
  <c r="K36" i="9" s="1"/>
  <c r="F35" i="9" s="1"/>
  <c r="O20" i="9"/>
  <c r="N20" i="9"/>
  <c r="K29" i="9" s="1"/>
  <c r="F28" i="9" s="1"/>
  <c r="M20" i="9"/>
  <c r="K28" i="9" s="1"/>
  <c r="K20" i="9"/>
  <c r="K26" i="9" s="1"/>
  <c r="L19" i="9"/>
  <c r="AB19" i="9" s="1"/>
  <c r="AD19" i="9" s="1"/>
  <c r="L18" i="9"/>
  <c r="AA18" i="9" s="1"/>
  <c r="L17" i="9"/>
  <c r="Z17" i="9" s="1"/>
  <c r="L16" i="9"/>
  <c r="AA16" i="9" s="1"/>
  <c r="L15" i="9"/>
  <c r="Q15" i="9" s="1"/>
  <c r="L14" i="9"/>
  <c r="Z14" i="9" s="1"/>
  <c r="L13" i="9"/>
  <c r="Z13" i="9" s="1"/>
  <c r="L12" i="9"/>
  <c r="AB12" i="9" s="1"/>
  <c r="AD12" i="9" s="1"/>
  <c r="L11" i="9"/>
  <c r="AA11" i="9" s="1"/>
  <c r="AB10" i="9"/>
  <c r="AD10" i="9" s="1"/>
  <c r="AA10" i="9"/>
  <c r="AC10" i="9" s="1"/>
  <c r="Z10" i="9"/>
  <c r="R10" i="9"/>
  <c r="Q10" i="9"/>
  <c r="P10" i="9"/>
  <c r="H10" i="9"/>
  <c r="P11" i="9" l="1"/>
  <c r="F27" i="9"/>
  <c r="T17" i="9"/>
  <c r="T15" i="9"/>
  <c r="R13" i="9"/>
  <c r="L27" i="9"/>
  <c r="Q12" i="9"/>
  <c r="Z15" i="9"/>
  <c r="P18" i="9"/>
  <c r="R12" i="9"/>
  <c r="AB15" i="9"/>
  <c r="AD15" i="9" s="1"/>
  <c r="Z11" i="9"/>
  <c r="AA17" i="9"/>
  <c r="AC17" i="9" s="1"/>
  <c r="Q11" i="9"/>
  <c r="AB11" i="9"/>
  <c r="AD11" i="9" s="1"/>
  <c r="AA15" i="9"/>
  <c r="AC15" i="9" s="1"/>
  <c r="AB17" i="9"/>
  <c r="AD17" i="9" s="1"/>
  <c r="R11" i="9"/>
  <c r="X11" i="9" s="1"/>
  <c r="Z12" i="9"/>
  <c r="AE17" i="9"/>
  <c r="AB18" i="9"/>
  <c r="AD18" i="9" s="1"/>
  <c r="T11" i="9"/>
  <c r="S20" i="9"/>
  <c r="K34" i="9" s="1"/>
  <c r="F33" i="9" s="1"/>
  <c r="X15" i="9"/>
  <c r="T18" i="9"/>
  <c r="X10" i="9"/>
  <c r="AE11" i="9"/>
  <c r="AC11" i="9"/>
  <c r="AE18" i="9"/>
  <c r="AC18" i="9"/>
  <c r="AE16" i="9"/>
  <c r="AC16" i="9"/>
  <c r="Q19" i="9"/>
  <c r="L20" i="9"/>
  <c r="AA13" i="9"/>
  <c r="P14" i="9"/>
  <c r="T14" i="9"/>
  <c r="AB14" i="9"/>
  <c r="AD14" i="9" s="1"/>
  <c r="P16" i="9"/>
  <c r="Q18" i="9"/>
  <c r="R19" i="9"/>
  <c r="Z19" i="9"/>
  <c r="AE10" i="9"/>
  <c r="AA14" i="9"/>
  <c r="T16" i="9"/>
  <c r="T10" i="9"/>
  <c r="AA12" i="9"/>
  <c r="P13" i="9"/>
  <c r="T13" i="9"/>
  <c r="AB13" i="9"/>
  <c r="AD13" i="9" s="1"/>
  <c r="Q14" i="9"/>
  <c r="Q16" i="9"/>
  <c r="Z16" i="9"/>
  <c r="R18" i="9"/>
  <c r="Z18" i="9"/>
  <c r="AA19" i="9"/>
  <c r="AB16" i="9"/>
  <c r="AD16" i="9" s="1"/>
  <c r="P12" i="9"/>
  <c r="T12" i="9"/>
  <c r="Q13" i="9"/>
  <c r="R14" i="9"/>
  <c r="Q17" i="9"/>
  <c r="X17" i="9" s="1"/>
  <c r="P19" i="9"/>
  <c r="T19" i="9"/>
  <c r="AE20" i="8"/>
  <c r="AE11" i="8"/>
  <c r="AE12" i="8"/>
  <c r="AE13" i="8"/>
  <c r="AE14" i="8"/>
  <c r="AE15" i="8"/>
  <c r="AE16" i="8"/>
  <c r="AE17" i="8"/>
  <c r="AE18" i="8"/>
  <c r="AE19" i="8"/>
  <c r="AE10" i="8"/>
  <c r="Q10" i="8"/>
  <c r="Z12" i="8"/>
  <c r="Z10" i="8"/>
  <c r="AB12" i="8"/>
  <c r="AD12" i="8" s="1"/>
  <c r="AB10" i="8"/>
  <c r="AD10" i="8" s="1"/>
  <c r="AA10" i="8"/>
  <c r="AC10" i="8" s="1"/>
  <c r="H24" i="8"/>
  <c r="O20" i="8"/>
  <c r="N20" i="8"/>
  <c r="M20" i="8"/>
  <c r="K20" i="8"/>
  <c r="S19" i="8"/>
  <c r="L19" i="8"/>
  <c r="P19" i="8" s="1"/>
  <c r="E19" i="8"/>
  <c r="D19" i="8"/>
  <c r="S18" i="8"/>
  <c r="L18" i="8"/>
  <c r="T18" i="8" s="1"/>
  <c r="E18" i="8"/>
  <c r="D18" i="8"/>
  <c r="S17" i="8"/>
  <c r="L17" i="8"/>
  <c r="Q17" i="8" s="1"/>
  <c r="E17" i="8"/>
  <c r="D17" i="8"/>
  <c r="S16" i="8"/>
  <c r="L16" i="8"/>
  <c r="Z16" i="8" s="1"/>
  <c r="E16" i="8"/>
  <c r="D16" i="8"/>
  <c r="S15" i="8"/>
  <c r="L15" i="8"/>
  <c r="Z15" i="8" s="1"/>
  <c r="E15" i="8"/>
  <c r="D15" i="8"/>
  <c r="S14" i="8"/>
  <c r="L14" i="8"/>
  <c r="R14" i="8" s="1"/>
  <c r="E14" i="8"/>
  <c r="D14" i="8"/>
  <c r="S13" i="8"/>
  <c r="L13" i="8"/>
  <c r="R13" i="8" s="1"/>
  <c r="E13" i="8"/>
  <c r="D13" i="8"/>
  <c r="S12" i="8"/>
  <c r="Y12" i="8" s="1"/>
  <c r="R12" i="8"/>
  <c r="L12" i="8"/>
  <c r="P12" i="8" s="1"/>
  <c r="E12" i="8"/>
  <c r="D12" i="8"/>
  <c r="S11" i="8"/>
  <c r="L11" i="8"/>
  <c r="E11" i="8"/>
  <c r="D11" i="8"/>
  <c r="S10" i="8"/>
  <c r="S20" i="8" s="1"/>
  <c r="R10" i="8"/>
  <c r="P10" i="8"/>
  <c r="H10" i="8"/>
  <c r="E10" i="8"/>
  <c r="D10" i="8"/>
  <c r="N20" i="3"/>
  <c r="M20" i="3"/>
  <c r="L12" i="3"/>
  <c r="L13" i="3"/>
  <c r="L14" i="3"/>
  <c r="L15" i="3"/>
  <c r="L16" i="3"/>
  <c r="L17" i="3"/>
  <c r="L18" i="3"/>
  <c r="L19" i="3"/>
  <c r="L11" i="3"/>
  <c r="L20" i="3"/>
  <c r="K20" i="3"/>
  <c r="H10" i="3"/>
  <c r="H24" i="3"/>
  <c r="X19" i="9" l="1"/>
  <c r="X13" i="9"/>
  <c r="X14" i="9"/>
  <c r="P20" i="9"/>
  <c r="K32" i="9" s="1"/>
  <c r="F31" i="9" s="1"/>
  <c r="X16" i="9"/>
  <c r="X18" i="9"/>
  <c r="R20" i="9"/>
  <c r="K33" i="9" s="1"/>
  <c r="F32" i="9" s="1"/>
  <c r="AE15" i="9"/>
  <c r="Q20" i="9"/>
  <c r="K31" i="9" s="1"/>
  <c r="AD20" i="9"/>
  <c r="X12" i="9"/>
  <c r="X20" i="9" s="1"/>
  <c r="T20" i="9"/>
  <c r="AC14" i="9"/>
  <c r="AE14" i="9"/>
  <c r="AC13" i="9"/>
  <c r="AE13" i="9"/>
  <c r="AC12" i="9"/>
  <c r="AE12" i="9"/>
  <c r="AB20" i="9"/>
  <c r="F44" i="9" s="1"/>
  <c r="AA20" i="9"/>
  <c r="F43" i="9" s="1"/>
  <c r="Z20" i="9"/>
  <c r="F42" i="9" s="1"/>
  <c r="AE19" i="9"/>
  <c r="AC19" i="9"/>
  <c r="AA19" i="8"/>
  <c r="AC19" i="8" s="1"/>
  <c r="Y16" i="8"/>
  <c r="AA14" i="8"/>
  <c r="AC14" i="8" s="1"/>
  <c r="Q19" i="8"/>
  <c r="T15" i="8"/>
  <c r="T11" i="8"/>
  <c r="AB16" i="8"/>
  <c r="AD16" i="8" s="1"/>
  <c r="Q14" i="8"/>
  <c r="T16" i="8"/>
  <c r="AA15" i="8"/>
  <c r="AC15" i="8" s="1"/>
  <c r="AA11" i="8"/>
  <c r="AC11" i="8" s="1"/>
  <c r="AB17" i="8"/>
  <c r="AD17" i="8" s="1"/>
  <c r="AB13" i="8"/>
  <c r="AD13" i="8" s="1"/>
  <c r="Y10" i="8"/>
  <c r="Y17" i="8"/>
  <c r="Y13" i="8"/>
  <c r="Z17" i="8"/>
  <c r="Z13" i="8"/>
  <c r="Q15" i="8"/>
  <c r="Q11" i="8"/>
  <c r="AA18" i="8"/>
  <c r="AC18" i="8" s="1"/>
  <c r="Q18" i="8"/>
  <c r="T10" i="8"/>
  <c r="P11" i="8"/>
  <c r="T17" i="8"/>
  <c r="P18" i="8"/>
  <c r="AA17" i="8"/>
  <c r="AC17" i="8" s="1"/>
  <c r="AA13" i="8"/>
  <c r="AC13" i="8" s="1"/>
  <c r="AB19" i="8"/>
  <c r="AD19" i="8" s="1"/>
  <c r="AB15" i="8"/>
  <c r="AD15" i="8" s="1"/>
  <c r="AB11" i="8"/>
  <c r="AD11" i="8" s="1"/>
  <c r="Y19" i="8"/>
  <c r="Y15" i="8"/>
  <c r="Y11" i="8"/>
  <c r="Z19" i="8"/>
  <c r="Z11" i="8"/>
  <c r="Q13" i="8"/>
  <c r="R11" i="8"/>
  <c r="R19" i="8"/>
  <c r="AA16" i="8"/>
  <c r="AC16" i="8" s="1"/>
  <c r="AA12" i="8"/>
  <c r="AC12" i="8" s="1"/>
  <c r="AB18" i="8"/>
  <c r="AD18" i="8" s="1"/>
  <c r="AB14" i="8"/>
  <c r="AD14" i="8" s="1"/>
  <c r="Y18" i="8"/>
  <c r="Y14" i="8"/>
  <c r="Z18" i="8"/>
  <c r="Z14" i="8"/>
  <c r="Q16" i="8"/>
  <c r="Q12" i="8"/>
  <c r="T13" i="8"/>
  <c r="P14" i="8"/>
  <c r="P16" i="8"/>
  <c r="R18" i="8"/>
  <c r="T14" i="8"/>
  <c r="L20" i="8"/>
  <c r="T12" i="8"/>
  <c r="P13" i="8"/>
  <c r="T19" i="8"/>
  <c r="P11" i="3"/>
  <c r="P12" i="3"/>
  <c r="P13" i="3"/>
  <c r="P14" i="3"/>
  <c r="P16" i="3"/>
  <c r="P18" i="3"/>
  <c r="P19" i="3"/>
  <c r="P10" i="3"/>
  <c r="S20" i="3"/>
  <c r="R11" i="3"/>
  <c r="R12" i="3"/>
  <c r="R13" i="3"/>
  <c r="R14" i="3"/>
  <c r="R18" i="3"/>
  <c r="R19" i="3"/>
  <c r="R10" i="3"/>
  <c r="O20" i="3"/>
  <c r="T11" i="3"/>
  <c r="T12" i="3"/>
  <c r="T13" i="3"/>
  <c r="T14" i="3"/>
  <c r="T15" i="3"/>
  <c r="T16" i="3"/>
  <c r="T17" i="3"/>
  <c r="T18" i="3"/>
  <c r="T19" i="3"/>
  <c r="T10" i="3"/>
  <c r="S11" i="3"/>
  <c r="S12" i="3"/>
  <c r="S13" i="3"/>
  <c r="S14" i="3"/>
  <c r="S15" i="3"/>
  <c r="S16" i="3"/>
  <c r="S17" i="3"/>
  <c r="S18" i="3"/>
  <c r="S19" i="3"/>
  <c r="S10" i="3"/>
  <c r="E11" i="3"/>
  <c r="E12" i="3"/>
  <c r="E13" i="3"/>
  <c r="E14" i="3"/>
  <c r="E15" i="3"/>
  <c r="E16" i="3"/>
  <c r="E17" i="3"/>
  <c r="E18" i="3"/>
  <c r="E19" i="3"/>
  <c r="E10" i="3"/>
  <c r="D11" i="3"/>
  <c r="D12" i="3"/>
  <c r="D13" i="3"/>
  <c r="D14" i="3"/>
  <c r="D15" i="3"/>
  <c r="D16" i="3"/>
  <c r="D17" i="3"/>
  <c r="D18" i="3"/>
  <c r="D19" i="3"/>
  <c r="D10" i="3"/>
  <c r="E40" i="9" l="1"/>
  <c r="F30" i="9"/>
  <c r="L37" i="9"/>
  <c r="AE20" i="9"/>
  <c r="AC20" i="9"/>
  <c r="AD20" i="8"/>
  <c r="AC20" i="8"/>
  <c r="R20" i="8"/>
  <c r="Q20" i="8"/>
  <c r="P20" i="8"/>
  <c r="AB20" i="8"/>
  <c r="AA20" i="8"/>
  <c r="Z20" i="8"/>
  <c r="Y20" i="8"/>
  <c r="R20" i="3"/>
  <c r="P20" i="3"/>
  <c r="V10" i="2"/>
  <c r="V6" i="2"/>
  <c r="K10" i="1" s="1"/>
  <c r="J10" i="1"/>
  <c r="I14" i="1"/>
  <c r="T13" i="2"/>
  <c r="T12" i="2"/>
  <c r="K11" i="1"/>
  <c r="K12" i="1"/>
  <c r="K13" i="1"/>
  <c r="K16" i="1"/>
  <c r="K17" i="1"/>
  <c r="K18" i="1"/>
  <c r="K9" i="1"/>
  <c r="R10" i="2"/>
  <c r="L38" i="9" l="1"/>
  <c r="F36" i="9" s="1"/>
  <c r="E26" i="9" s="1"/>
  <c r="M11" i="1"/>
  <c r="M12" i="1"/>
  <c r="M13" i="1"/>
  <c r="M9" i="1"/>
  <c r="G9" i="1"/>
  <c r="G18" i="1"/>
  <c r="G10" i="1"/>
  <c r="G11" i="1"/>
  <c r="G12" i="1"/>
  <c r="G13" i="1"/>
  <c r="G16" i="1"/>
  <c r="G17" i="1"/>
  <c r="L39" i="9" l="1"/>
  <c r="R11" i="2"/>
  <c r="T6" i="2"/>
  <c r="T7" i="2"/>
  <c r="T8" i="2"/>
  <c r="T9" i="2"/>
  <c r="W9" i="2"/>
  <c r="W13" i="2"/>
  <c r="T5" i="2"/>
  <c r="W5" i="2"/>
  <c r="W7" i="2"/>
  <c r="D30" i="1"/>
  <c r="E30" i="1"/>
  <c r="H30" i="1"/>
  <c r="D31" i="1"/>
  <c r="E31" i="1"/>
  <c r="H31" i="1"/>
  <c r="J31" i="1"/>
  <c r="D32" i="1"/>
  <c r="E32" i="1"/>
  <c r="H32" i="1"/>
  <c r="D33" i="1"/>
  <c r="E33" i="1"/>
  <c r="H33" i="1"/>
  <c r="D34" i="1"/>
  <c r="E34" i="1"/>
  <c r="H34" i="1"/>
  <c r="D35" i="1"/>
  <c r="E35" i="1"/>
  <c r="H35" i="1"/>
  <c r="D36" i="1"/>
  <c r="E36" i="1"/>
  <c r="H36" i="1"/>
  <c r="D37" i="1"/>
  <c r="E37" i="1"/>
  <c r="H37" i="1"/>
  <c r="D38" i="1"/>
  <c r="E38" i="1"/>
  <c r="F38" i="1"/>
  <c r="H38" i="1"/>
  <c r="D39" i="1"/>
  <c r="E39" i="1"/>
  <c r="H39" i="1"/>
  <c r="I39" i="1"/>
  <c r="J39" i="1"/>
  <c r="W6" i="2"/>
  <c r="W8" i="2"/>
  <c r="W12" i="2"/>
  <c r="W14" i="2"/>
  <c r="I10" i="1"/>
  <c r="I11" i="1"/>
  <c r="J11" i="1"/>
  <c r="J32" i="1"/>
  <c r="I12" i="1"/>
  <c r="J12" i="1"/>
  <c r="J33" i="1"/>
  <c r="I13" i="1"/>
  <c r="J13" i="1"/>
  <c r="J34" i="1"/>
  <c r="J14" i="1"/>
  <c r="K14" i="1" s="1"/>
  <c r="I15" i="1"/>
  <c r="J15" i="1"/>
  <c r="J36" i="1"/>
  <c r="I16" i="1"/>
  <c r="J16" i="1"/>
  <c r="J37" i="1"/>
  <c r="I17" i="1"/>
  <c r="I38" i="1"/>
  <c r="I9" i="1"/>
  <c r="J9" i="1"/>
  <c r="J30" i="1"/>
  <c r="V7" i="2"/>
  <c r="V8" i="2"/>
  <c r="V9" i="2"/>
  <c r="V12" i="2"/>
  <c r="V13" i="2"/>
  <c r="V5" i="2"/>
  <c r="U6" i="2"/>
  <c r="U7" i="2"/>
  <c r="U8" i="2"/>
  <c r="U9" i="2"/>
  <c r="U12" i="2"/>
  <c r="U13" i="2"/>
  <c r="U5" i="2"/>
  <c r="T14" i="2"/>
  <c r="S14" i="2"/>
  <c r="Q14" i="2"/>
  <c r="P14" i="2"/>
  <c r="R14" i="2"/>
  <c r="S11" i="2"/>
  <c r="S12" i="2"/>
  <c r="S13" i="2"/>
  <c r="S10" i="2"/>
  <c r="T10" i="2" s="1"/>
  <c r="W10" i="2" s="1"/>
  <c r="R13" i="2"/>
  <c r="R12" i="2"/>
  <c r="Q13" i="2"/>
  <c r="Q12" i="2"/>
  <c r="Q11" i="2"/>
  <c r="S1" i="2"/>
  <c r="L6" i="2"/>
  <c r="L7" i="2"/>
  <c r="L8" i="2"/>
  <c r="L9" i="2"/>
  <c r="L10" i="2"/>
  <c r="L11" i="2"/>
  <c r="V11" i="2" s="1"/>
  <c r="K15" i="1" s="1"/>
  <c r="L12" i="2"/>
  <c r="L13" i="2"/>
  <c r="L5" i="2"/>
  <c r="K6" i="2"/>
  <c r="K7" i="2"/>
  <c r="K8" i="2"/>
  <c r="K9" i="2"/>
  <c r="K11" i="2"/>
  <c r="T11" i="2" s="1"/>
  <c r="K12" i="2"/>
  <c r="K13" i="2"/>
  <c r="K14" i="2"/>
  <c r="F12" i="1"/>
  <c r="F33" i="1"/>
  <c r="F9" i="1"/>
  <c r="F30" i="1"/>
  <c r="F11" i="1"/>
  <c r="F32" i="1"/>
  <c r="F35" i="1"/>
  <c r="F36" i="1"/>
  <c r="F37" i="1"/>
  <c r="F18" i="1"/>
  <c r="L18" i="1"/>
  <c r="L39" i="1"/>
  <c r="O39" i="1" s="1"/>
  <c r="U11" i="2"/>
  <c r="U10" i="2"/>
  <c r="I30" i="1"/>
  <c r="N39" i="1"/>
  <c r="F39" i="1"/>
  <c r="I34" i="1"/>
  <c r="I31" i="1"/>
  <c r="I35" i="1"/>
  <c r="I33" i="1"/>
  <c r="I32" i="1"/>
  <c r="I37" i="1"/>
  <c r="I36" i="1"/>
  <c r="L16" i="1"/>
  <c r="L37" i="1" s="1"/>
  <c r="N37" i="1" s="1"/>
  <c r="J17" i="1"/>
  <c r="J38" i="1"/>
  <c r="L15" i="1"/>
  <c r="L36" i="1"/>
  <c r="O36" i="1" s="1"/>
  <c r="L9" i="1"/>
  <c r="L30" i="1"/>
  <c r="O30" i="1" s="1"/>
  <c r="L11" i="1"/>
  <c r="L32" i="1"/>
  <c r="N32" i="1" s="1"/>
  <c r="F13" i="1"/>
  <c r="F34" i="1"/>
  <c r="L12" i="1"/>
  <c r="L33" i="1"/>
  <c r="N33" i="1" s="1"/>
  <c r="F10" i="1"/>
  <c r="F31" i="1"/>
  <c r="N30" i="1"/>
  <c r="L17" i="1"/>
  <c r="M17" i="1" s="1"/>
  <c r="L38" i="1"/>
  <c r="N38" i="1" s="1"/>
  <c r="J19" i="1"/>
  <c r="J40" i="1" s="1"/>
  <c r="L10" i="1"/>
  <c r="M10" i="1" s="1"/>
  <c r="L31" i="1"/>
  <c r="N31" i="1" s="1"/>
  <c r="L13" i="1"/>
  <c r="L34" i="1"/>
  <c r="N34" i="1" s="1"/>
  <c r="F19" i="1"/>
  <c r="F40" i="1" s="1"/>
  <c r="O31" i="1"/>
  <c r="G15" i="1" l="1"/>
  <c r="W11" i="2"/>
  <c r="M15" i="1" s="1"/>
  <c r="J35" i="1"/>
  <c r="L14" i="1"/>
  <c r="L35" i="1" s="1"/>
  <c r="N35" i="1" s="1"/>
  <c r="O38" i="1"/>
  <c r="M16" i="1"/>
  <c r="G14" i="1"/>
  <c r="O37" i="1"/>
  <c r="N36" i="1"/>
  <c r="O34" i="1"/>
  <c r="O32" i="1"/>
  <c r="O33" i="1"/>
  <c r="L19" i="1" l="1"/>
  <c r="L40" i="1" s="1"/>
  <c r="O35" i="1"/>
  <c r="N40" i="1"/>
  <c r="M14" i="1"/>
</calcChain>
</file>

<file path=xl/sharedStrings.xml><?xml version="1.0" encoding="utf-8"?>
<sst xmlns="http://schemas.openxmlformats.org/spreadsheetml/2006/main" count="358" uniqueCount="141">
  <si>
    <t xml:space="preserve">Time Card - Use as needed </t>
  </si>
  <si>
    <t>Standard Work Week</t>
  </si>
  <si>
    <t>Time Clerk's Report No. 1 - For Period Ending January 8th, 20xx</t>
  </si>
  <si>
    <t>Employees Wages</t>
  </si>
  <si>
    <t>No.</t>
  </si>
  <si>
    <t>Employee</t>
  </si>
  <si>
    <t>M</t>
  </si>
  <si>
    <t>T</t>
  </si>
  <si>
    <t>W</t>
  </si>
  <si>
    <t>Th</t>
  </si>
  <si>
    <t>F</t>
  </si>
  <si>
    <t>S</t>
  </si>
  <si>
    <t>Time Worked</t>
  </si>
  <si>
    <t>Time Lost</t>
  </si>
  <si>
    <t>Reg.</t>
  </si>
  <si>
    <t>Ot.</t>
  </si>
  <si>
    <t>Hourly Wage or Salary</t>
  </si>
  <si>
    <t>Yr-Mnth</t>
  </si>
  <si>
    <t>Mnth - Wk</t>
  </si>
  <si>
    <t>Wk - Hr</t>
  </si>
  <si>
    <t>Pay/hr</t>
  </si>
  <si>
    <t>Total Reg. $</t>
  </si>
  <si>
    <t>OT pay/hr</t>
  </si>
  <si>
    <t>Total Ot. $</t>
  </si>
  <si>
    <t>Total Earnings</t>
  </si>
  <si>
    <t>Fran Carson</t>
  </si>
  <si>
    <t>-</t>
  </si>
  <si>
    <t>$17.50 per hour</t>
  </si>
  <si>
    <t>William Willson</t>
  </si>
  <si>
    <t>$17.25 per hour</t>
  </si>
  <si>
    <t>Harry Utley</t>
  </si>
  <si>
    <t>$18.10 per hour</t>
  </si>
  <si>
    <t>Lawrence Fife</t>
  </si>
  <si>
    <t>tardy</t>
  </si>
  <si>
    <t>$17.90 per hour</t>
  </si>
  <si>
    <t>Lucy Smith</t>
  </si>
  <si>
    <t>19.75 per hour</t>
  </si>
  <si>
    <t>Gretchen Fay</t>
  </si>
  <si>
    <t>$515 per week</t>
  </si>
  <si>
    <t>Glenda Robey</t>
  </si>
  <si>
    <t>$2,700 per month</t>
  </si>
  <si>
    <t>Thomas Schork</t>
  </si>
  <si>
    <t>$3,350 per month</t>
  </si>
  <si>
    <t>Barbara hardy</t>
  </si>
  <si>
    <t>$2,510 per month</t>
  </si>
  <si>
    <t>Carson Kipley</t>
  </si>
  <si>
    <t>NO</t>
  </si>
  <si>
    <t>$52,000 per year</t>
  </si>
  <si>
    <t>The formula I used is not making the correct</t>
  </si>
  <si>
    <t>amount. The amount should be 515.20 and 623.20.</t>
  </si>
  <si>
    <t>When I enter the formula in manually 12.88*40, it comes</t>
  </si>
  <si>
    <t>up with the correct answer of 515.20 but using the formula</t>
  </si>
  <si>
    <t>it drops the cents. What am I doing wrong?</t>
  </si>
  <si>
    <t>Week 3</t>
  </si>
  <si>
    <t>KIPLEY COMPANY, INC.</t>
  </si>
  <si>
    <t>PAYROLL REGISTER</t>
  </si>
  <si>
    <t>FOR PERIOD ENDING</t>
  </si>
  <si>
    <t>Time Card No.</t>
  </si>
  <si>
    <t>Regular Earnings</t>
  </si>
  <si>
    <t>Overtime Earnings</t>
  </si>
  <si>
    <t>Deductions</t>
  </si>
  <si>
    <t>Name</t>
  </si>
  <si>
    <t>Hours worked</t>
  </si>
  <si>
    <t>Rate Per Hour</t>
  </si>
  <si>
    <t>Amount</t>
  </si>
  <si>
    <t>OASDI Tax</t>
  </si>
  <si>
    <t>HI Tax</t>
  </si>
  <si>
    <t>Carson, Fran M.</t>
  </si>
  <si>
    <t>Wilson, William A.</t>
  </si>
  <si>
    <t>Utley, Harry T.</t>
  </si>
  <si>
    <t>Fife, Lawrence R.</t>
  </si>
  <si>
    <t>Smith, Lucy K</t>
  </si>
  <si>
    <t>Fay, Gretchen R.</t>
  </si>
  <si>
    <t>Robey, Glenda B.</t>
  </si>
  <si>
    <t>Schork, Thomas K.</t>
  </si>
  <si>
    <t>Hardy, Barbara T.</t>
  </si>
  <si>
    <t>Kipley, Carson C.</t>
  </si>
  <si>
    <t>N/A</t>
  </si>
  <si>
    <t>Totals…………………………………</t>
  </si>
  <si>
    <t>WEEK 4</t>
  </si>
  <si>
    <t>Marital Status</t>
  </si>
  <si>
    <t>NO. W.H Allow.</t>
  </si>
  <si>
    <t>OASDI</t>
  </si>
  <si>
    <t>HI</t>
  </si>
  <si>
    <t>FIT</t>
  </si>
  <si>
    <t>SIT</t>
  </si>
  <si>
    <t>SUTA</t>
  </si>
  <si>
    <t>CIT</t>
  </si>
  <si>
    <t>SIMPLE</t>
  </si>
  <si>
    <t>Tax</t>
  </si>
  <si>
    <t>The Wage Bracket Method</t>
  </si>
  <si>
    <t>Time Card No</t>
  </si>
  <si>
    <t>No. of allowances</t>
  </si>
  <si>
    <t>SIMPLE deductions</t>
  </si>
  <si>
    <t>Net Paid</t>
  </si>
  <si>
    <t>Taxable Earnings</t>
  </si>
  <si>
    <t>FUTA &amp; SUTA Taxes</t>
  </si>
  <si>
    <t>FUTA</t>
  </si>
  <si>
    <t>JOURNAL</t>
  </si>
  <si>
    <t>Employees FIT Payable</t>
  </si>
  <si>
    <t>Simple Deductions Payable</t>
  </si>
  <si>
    <t>Group Insurance Premiums</t>
  </si>
  <si>
    <t>Health Insurance Premiums</t>
  </si>
  <si>
    <t>Salaries Payable</t>
  </si>
  <si>
    <t>FUTA Taxes Payable</t>
  </si>
  <si>
    <t>SUTA Taxes Payable</t>
  </si>
  <si>
    <t>Cash</t>
  </si>
  <si>
    <t>Marital Statues</t>
  </si>
  <si>
    <t>Gross Pay After Simple Plan</t>
  </si>
  <si>
    <t>`</t>
  </si>
  <si>
    <t>Group Ins.</t>
  </si>
  <si>
    <t>Health Ins.</t>
  </si>
  <si>
    <t>Check No.</t>
  </si>
  <si>
    <t>SUTA Tax</t>
  </si>
  <si>
    <t>Net FUTA Tax</t>
  </si>
  <si>
    <t>Gross FUTA</t>
  </si>
  <si>
    <t>WEEK 5</t>
  </si>
  <si>
    <t>Date</t>
  </si>
  <si>
    <t>Description</t>
  </si>
  <si>
    <t>Debit</t>
  </si>
  <si>
    <t>Credit</t>
  </si>
  <si>
    <t>Proof</t>
  </si>
  <si>
    <t>FICA tax w/held-OASDI</t>
  </si>
  <si>
    <t>FICA tax w/held-HI</t>
  </si>
  <si>
    <t>FIT w/held</t>
  </si>
  <si>
    <t>SIT w/held</t>
  </si>
  <si>
    <t>CIT w/held</t>
  </si>
  <si>
    <t>Simple Plan</t>
  </si>
  <si>
    <t>Total Deductions</t>
  </si>
  <si>
    <t>Total Net Pay</t>
  </si>
  <si>
    <t>Total earnings</t>
  </si>
  <si>
    <t>SUTA w/held</t>
  </si>
  <si>
    <t>Wages Expense</t>
  </si>
  <si>
    <t>Fica Taxes Payable-OASDI</t>
  </si>
  <si>
    <t>SIT Payable</t>
  </si>
  <si>
    <t>CIT Payable</t>
  </si>
  <si>
    <t>To record payroll taxes and employers for the taxes</t>
  </si>
  <si>
    <t>To record pmt. Of wages for the pay period ended 1/8/2016</t>
  </si>
  <si>
    <t>To record payment of wages and liability for employers gross wages, withholdings,  and net pay</t>
  </si>
  <si>
    <t xml:space="preserve">Payroll Taxes </t>
  </si>
  <si>
    <t>Fica Taxes Payable-HI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</si>
</sst>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&quot;$&quot;* #,##0.000_);_(&quot;$&quot;* \(#,##0.000\);_(&quot;$&quot;* &quot;-&quot;??_);_(@_)"/>
    <numFmt numFmtId="166" formatCode="_(&quot;$&quot;* #,##0.000_);_(&quot;$&quot;* \(#,##0.000\);_(&quot;$&quot;* &quot;-&quot;???_);_(@_)"/>
  </numFmts>
  <fonts count="20" x14ac:knownFonts="1">
    <font>
      <sz val="10"/>
      <name val="Verdana"/>
    </font>
    <font>
      <sz val="8"/>
      <name val="Verdana"/>
      <family val="2"/>
    </font>
    <font>
      <sz val="12"/>
      <name val="Times New Roman"/>
      <family val="1"/>
    </font>
    <font>
      <sz val="13.5"/>
      <name val="Helvetica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14"/>
      <color indexed="10"/>
      <name val="Arial"/>
      <family val="2"/>
    </font>
    <font>
      <sz val="1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sz val="14"/>
      <name val="Book Antiqua"/>
      <family val="1"/>
    </font>
    <font>
      <b/>
      <sz val="10"/>
      <name val="Book Antiqua"/>
      <family val="1"/>
    </font>
    <font>
      <sz val="10"/>
      <name val="Verdana"/>
    </font>
    <font>
      <sz val="11"/>
      <color rgb="FF9C0006"/>
      <name val="Calibri"/>
      <family val="2"/>
      <scheme val="minor"/>
    </font>
    <font>
      <b/>
      <sz val="10"/>
      <name val="Verdana"/>
    </font>
    <font>
      <sz val="10"/>
      <name val="Verdana"/>
      <family val="2"/>
    </font>
    <font>
      <b/>
      <sz val="10"/>
      <name val="Verdana"/>
      <family val="2"/>
    </font>
    <font>
      <i/>
      <sz val="10"/>
      <name val="Verdana"/>
      <family val="2"/>
    </font>
    <font>
      <i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7CE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2">
    <border>
      <left/>
      <right/>
      <top/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double">
        <color indexed="8"/>
      </right>
      <top style="double">
        <color indexed="64"/>
      </top>
      <bottom style="medium">
        <color indexed="64"/>
      </bottom>
      <diagonal/>
    </border>
    <border>
      <left style="double">
        <color indexed="8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8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uble">
        <color indexed="8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4" fontId="13" fillId="0" borderId="0" applyFont="0" applyFill="0" applyBorder="0" applyAlignment="0" applyProtection="0"/>
    <xf numFmtId="0" fontId="14" fillId="5" borderId="0" applyNumberFormat="0" applyBorder="0" applyAlignment="0" applyProtection="0"/>
    <xf numFmtId="43" fontId="13" fillId="0" borderId="0" applyFont="0" applyFill="0" applyBorder="0" applyAlignment="0" applyProtection="0"/>
  </cellStyleXfs>
  <cellXfs count="359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28" xfId="0" applyFont="1" applyFill="1" applyBorder="1"/>
    <xf numFmtId="0" fontId="4" fillId="2" borderId="26" xfId="0" applyFont="1" applyFill="1" applyBorder="1"/>
    <xf numFmtId="0" fontId="4" fillId="2" borderId="25" xfId="0" applyFont="1" applyFill="1" applyBorder="1"/>
    <xf numFmtId="0" fontId="4" fillId="2" borderId="4" xfId="0" applyFont="1" applyFill="1" applyBorder="1"/>
    <xf numFmtId="0" fontId="5" fillId="2" borderId="4" xfId="0" applyFont="1" applyFill="1" applyBorder="1"/>
    <xf numFmtId="0" fontId="4" fillId="2" borderId="4" xfId="0" applyFont="1" applyFill="1" applyBorder="1" applyAlignment="1">
      <alignment horizontal="right"/>
    </xf>
    <xf numFmtId="0" fontId="4" fillId="2" borderId="5" xfId="0" applyFont="1" applyFill="1" applyBorder="1"/>
    <xf numFmtId="0" fontId="6" fillId="0" borderId="0" xfId="0" applyFont="1" applyAlignment="1">
      <alignment wrapText="1"/>
    </xf>
    <xf numFmtId="0" fontId="4" fillId="2" borderId="23" xfId="0" applyFont="1" applyFill="1" applyBorder="1" applyAlignment="1">
      <alignment horizontal="right"/>
    </xf>
    <xf numFmtId="0" fontId="4" fillId="2" borderId="24" xfId="0" applyFont="1" applyFill="1" applyBorder="1"/>
    <xf numFmtId="0" fontId="5" fillId="2" borderId="24" xfId="0" applyFont="1" applyFill="1" applyBorder="1"/>
    <xf numFmtId="0" fontId="4" fillId="2" borderId="1" xfId="0" applyFont="1" applyFill="1" applyBorder="1" applyAlignment="1">
      <alignment horizontal="right"/>
    </xf>
    <xf numFmtId="0" fontId="4" fillId="2" borderId="0" xfId="0" applyFont="1" applyFill="1"/>
    <xf numFmtId="0" fontId="4" fillId="2" borderId="8" xfId="0" applyFont="1" applyFill="1" applyBorder="1" applyAlignment="1">
      <alignment horizontal="right"/>
    </xf>
    <xf numFmtId="0" fontId="4" fillId="3" borderId="9" xfId="0" applyFont="1" applyFill="1" applyBorder="1"/>
    <xf numFmtId="0" fontId="4" fillId="2" borderId="10" xfId="0" applyFont="1" applyFill="1" applyBorder="1"/>
    <xf numFmtId="0" fontId="4" fillId="2" borderId="7" xfId="0" applyFont="1" applyFill="1" applyBorder="1" applyAlignment="1">
      <alignment horizontal="right"/>
    </xf>
    <xf numFmtId="0" fontId="4" fillId="2" borderId="31" xfId="0" applyFont="1" applyFill="1" applyBorder="1" applyAlignment="1">
      <alignment horizontal="right"/>
    </xf>
    <xf numFmtId="0" fontId="4" fillId="2" borderId="33" xfId="0" applyFont="1" applyFill="1" applyBorder="1"/>
    <xf numFmtId="0" fontId="7" fillId="0" borderId="0" xfId="0" applyFont="1"/>
    <xf numFmtId="0" fontId="4" fillId="2" borderId="13" xfId="0" applyFont="1" applyFill="1" applyBorder="1" applyAlignment="1">
      <alignment horizontal="right"/>
    </xf>
    <xf numFmtId="0" fontId="4" fillId="2" borderId="16" xfId="0" applyFont="1" applyFill="1" applyBorder="1" applyAlignment="1">
      <alignment horizontal="right"/>
    </xf>
    <xf numFmtId="0" fontId="4" fillId="2" borderId="1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right"/>
    </xf>
    <xf numFmtId="0" fontId="4" fillId="2" borderId="14" xfId="0" applyFont="1" applyFill="1" applyBorder="1" applyAlignment="1">
      <alignment horizontal="right"/>
    </xf>
    <xf numFmtId="0" fontId="4" fillId="2" borderId="39" xfId="0" applyFont="1" applyFill="1" applyBorder="1" applyAlignment="1">
      <alignment horizontal="right"/>
    </xf>
    <xf numFmtId="0" fontId="4" fillId="2" borderId="34" xfId="0" applyFont="1" applyFill="1" applyBorder="1" applyAlignment="1">
      <alignment horizontal="right"/>
    </xf>
    <xf numFmtId="4" fontId="4" fillId="2" borderId="4" xfId="0" applyNumberFormat="1" applyFont="1" applyFill="1" applyBorder="1" applyAlignment="1">
      <alignment horizontal="right"/>
    </xf>
    <xf numFmtId="0" fontId="4" fillId="3" borderId="14" xfId="0" applyFont="1" applyFill="1" applyBorder="1"/>
    <xf numFmtId="0" fontId="4" fillId="2" borderId="13" xfId="0" applyFont="1" applyFill="1" applyBorder="1"/>
    <xf numFmtId="0" fontId="9" fillId="0" borderId="47" xfId="0" applyFont="1" applyBorder="1"/>
    <xf numFmtId="0" fontId="9" fillId="0" borderId="0" xfId="0" applyFont="1"/>
    <xf numFmtId="0" fontId="9" fillId="0" borderId="47" xfId="0" applyFont="1" applyBorder="1" applyAlignment="1"/>
    <xf numFmtId="0" fontId="9" fillId="0" borderId="47" xfId="0" applyFont="1" applyBorder="1" applyAlignment="1">
      <alignment horizontal="left"/>
    </xf>
    <xf numFmtId="0" fontId="10" fillId="0" borderId="47" xfId="0" applyFont="1" applyBorder="1" applyAlignment="1">
      <alignment horizontal="center" vertical="top"/>
    </xf>
    <xf numFmtId="0" fontId="10" fillId="0" borderId="47" xfId="0" applyFont="1" applyBorder="1" applyAlignment="1">
      <alignment horizontal="center" wrapText="1"/>
    </xf>
    <xf numFmtId="0" fontId="10" fillId="0" borderId="0" xfId="0" applyFont="1"/>
    <xf numFmtId="0" fontId="11" fillId="0" borderId="0" xfId="0" applyFont="1"/>
    <xf numFmtId="0" fontId="8" fillId="0" borderId="3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6" fontId="8" fillId="0" borderId="5" xfId="0" applyNumberFormat="1" applyFont="1" applyBorder="1" applyAlignment="1">
      <alignment horizontal="left" vertical="center" wrapText="1"/>
    </xf>
    <xf numFmtId="0" fontId="12" fillId="0" borderId="3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0" fillId="0" borderId="47" xfId="0" applyFont="1" applyFill="1" applyBorder="1" applyAlignment="1">
      <alignment horizontal="center" vertical="top"/>
    </xf>
    <xf numFmtId="0" fontId="10" fillId="0" borderId="47" xfId="0" applyFont="1" applyFill="1" applyBorder="1" applyAlignment="1">
      <alignment horizontal="center"/>
    </xf>
    <xf numFmtId="2" fontId="9" fillId="0" borderId="0" xfId="0" applyNumberFormat="1" applyFont="1"/>
    <xf numFmtId="44" fontId="9" fillId="0" borderId="0" xfId="1" applyFont="1"/>
    <xf numFmtId="165" fontId="9" fillId="0" borderId="0" xfId="0" applyNumberFormat="1" applyFont="1"/>
    <xf numFmtId="0" fontId="9" fillId="0" borderId="0" xfId="0" applyFont="1" applyBorder="1" applyAlignment="1"/>
    <xf numFmtId="44" fontId="9" fillId="0" borderId="0" xfId="1" applyNumberFormat="1" applyFont="1" applyBorder="1" applyAlignment="1"/>
    <xf numFmtId="164" fontId="9" fillId="0" borderId="0" xfId="0" applyNumberFormat="1" applyFont="1" applyBorder="1" applyAlignment="1"/>
    <xf numFmtId="166" fontId="9" fillId="0" borderId="0" xfId="0" applyNumberFormat="1" applyFont="1"/>
    <xf numFmtId="0" fontId="0" fillId="0" borderId="0" xfId="0" applyBorder="1"/>
    <xf numFmtId="0" fontId="4" fillId="0" borderId="0" xfId="0" applyFont="1" applyFill="1" applyBorder="1" applyAlignment="1">
      <alignment horizontal="right"/>
    </xf>
    <xf numFmtId="4" fontId="4" fillId="0" borderId="0" xfId="0" applyNumberFormat="1" applyFont="1" applyFill="1" applyBorder="1" applyAlignment="1">
      <alignment horizontal="right"/>
    </xf>
    <xf numFmtId="2" fontId="4" fillId="2" borderId="4" xfId="0" applyNumberFormat="1" applyFont="1" applyFill="1" applyBorder="1" applyAlignment="1">
      <alignment horizontal="right"/>
    </xf>
    <xf numFmtId="2" fontId="4" fillId="2" borderId="33" xfId="0" applyNumberFormat="1" applyFont="1" applyFill="1" applyBorder="1" applyAlignment="1">
      <alignment horizontal="right"/>
    </xf>
    <xf numFmtId="2" fontId="4" fillId="2" borderId="14" xfId="0" applyNumberFormat="1" applyFont="1" applyFill="1" applyBorder="1"/>
    <xf numFmtId="2" fontId="4" fillId="2" borderId="6" xfId="0" applyNumberFormat="1" applyFont="1" applyFill="1" applyBorder="1"/>
    <xf numFmtId="2" fontId="4" fillId="2" borderId="41" xfId="0" applyNumberFormat="1" applyFont="1" applyFill="1" applyBorder="1" applyAlignment="1">
      <alignment horizontal="right"/>
    </xf>
    <xf numFmtId="2" fontId="4" fillId="3" borderId="34" xfId="0" applyNumberFormat="1" applyFont="1" applyFill="1" applyBorder="1" applyAlignment="1">
      <alignment horizontal="right"/>
    </xf>
    <xf numFmtId="14" fontId="4" fillId="2" borderId="4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51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3" borderId="53" xfId="0" applyNumberFormat="1" applyFont="1" applyFill="1" applyBorder="1" applyAlignment="1">
      <alignment horizontal="right"/>
    </xf>
    <xf numFmtId="0" fontId="4" fillId="2" borderId="54" xfId="0" applyFont="1" applyFill="1" applyBorder="1" applyAlignment="1">
      <alignment horizontal="left"/>
    </xf>
    <xf numFmtId="2" fontId="4" fillId="3" borderId="55" xfId="0" applyNumberFormat="1" applyFont="1" applyFill="1" applyBorder="1" applyAlignment="1">
      <alignment horizontal="right"/>
    </xf>
    <xf numFmtId="4" fontId="4" fillId="2" borderId="56" xfId="0" applyNumberFormat="1" applyFont="1" applyFill="1" applyBorder="1" applyAlignment="1">
      <alignment horizontal="right"/>
    </xf>
    <xf numFmtId="0" fontId="4" fillId="2" borderId="57" xfId="0" applyFont="1" applyFill="1" applyBorder="1" applyAlignment="1">
      <alignment horizontal="right"/>
    </xf>
    <xf numFmtId="0" fontId="4" fillId="2" borderId="19" xfId="0" applyFont="1" applyFill="1" applyBorder="1" applyAlignment="1">
      <alignment horizontal="right"/>
    </xf>
    <xf numFmtId="0" fontId="4" fillId="2" borderId="58" xfId="0" applyFont="1" applyFill="1" applyBorder="1" applyAlignment="1">
      <alignment horizontal="right"/>
    </xf>
    <xf numFmtId="0" fontId="4" fillId="2" borderId="46" xfId="0" applyFont="1" applyFill="1" applyBorder="1"/>
    <xf numFmtId="0" fontId="4" fillId="2" borderId="60" xfId="0" applyFont="1" applyFill="1" applyBorder="1" applyAlignment="1">
      <alignment horizontal="left"/>
    </xf>
    <xf numFmtId="2" fontId="4" fillId="2" borderId="12" xfId="0" applyNumberFormat="1" applyFont="1" applyFill="1" applyBorder="1" applyAlignment="1">
      <alignment horizontal="right"/>
    </xf>
    <xf numFmtId="2" fontId="4" fillId="2" borderId="34" xfId="0" applyNumberFormat="1" applyFont="1" applyFill="1" applyBorder="1" applyAlignment="1">
      <alignment horizontal="right"/>
    </xf>
    <xf numFmtId="2" fontId="4" fillId="2" borderId="39" xfId="0" applyNumberFormat="1" applyFont="1" applyFill="1" applyBorder="1" applyAlignment="1">
      <alignment horizontal="right"/>
    </xf>
    <xf numFmtId="2" fontId="4" fillId="2" borderId="11" xfId="0" applyNumberFormat="1" applyFont="1" applyFill="1" applyBorder="1" applyAlignment="1">
      <alignment horizontal="right"/>
    </xf>
    <xf numFmtId="4" fontId="4" fillId="2" borderId="11" xfId="0" applyNumberFormat="1" applyFont="1" applyFill="1" applyBorder="1" applyAlignment="1">
      <alignment horizontal="right"/>
    </xf>
    <xf numFmtId="4" fontId="4" fillId="2" borderId="39" xfId="0" applyNumberFormat="1" applyFont="1" applyFill="1" applyBorder="1" applyAlignment="1">
      <alignment horizontal="right"/>
    </xf>
    <xf numFmtId="2" fontId="4" fillId="2" borderId="2" xfId="0" applyNumberFormat="1" applyFont="1" applyFill="1" applyBorder="1" applyAlignment="1">
      <alignment horizontal="right"/>
    </xf>
    <xf numFmtId="2" fontId="4" fillId="2" borderId="0" xfId="0" applyNumberFormat="1" applyFont="1" applyFill="1" applyBorder="1" applyAlignment="1">
      <alignment horizontal="right"/>
    </xf>
    <xf numFmtId="2" fontId="4" fillId="2" borderId="16" xfId="0" applyNumberFormat="1" applyFont="1" applyFill="1" applyBorder="1" applyAlignment="1">
      <alignment horizontal="right"/>
    </xf>
    <xf numFmtId="0" fontId="4" fillId="2" borderId="13" xfId="0" applyFont="1" applyFill="1" applyBorder="1" applyAlignment="1">
      <alignment horizontal="center"/>
    </xf>
    <xf numFmtId="2" fontId="4" fillId="3" borderId="2" xfId="0" applyNumberFormat="1" applyFont="1" applyFill="1" applyBorder="1" applyAlignment="1">
      <alignment horizontal="right"/>
    </xf>
    <xf numFmtId="0" fontId="4" fillId="2" borderId="4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wrapText="1"/>
    </xf>
    <xf numFmtId="0" fontId="15" fillId="0" borderId="0" xfId="0" applyFont="1"/>
    <xf numFmtId="0" fontId="4" fillId="2" borderId="50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wrapText="1"/>
    </xf>
    <xf numFmtId="2" fontId="4" fillId="3" borderId="43" xfId="0" applyNumberFormat="1" applyFont="1" applyFill="1" applyBorder="1" applyAlignment="1">
      <alignment horizontal="right"/>
    </xf>
    <xf numFmtId="4" fontId="4" fillId="2" borderId="33" xfId="0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2" fontId="4" fillId="3" borderId="13" xfId="0" applyNumberFormat="1" applyFont="1" applyFill="1" applyBorder="1" applyAlignment="1">
      <alignment horizontal="right"/>
    </xf>
    <xf numFmtId="0" fontId="4" fillId="2" borderId="50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40" xfId="0" applyFont="1" applyFill="1" applyBorder="1" applyAlignment="1">
      <alignment horizontal="center"/>
    </xf>
    <xf numFmtId="4" fontId="4" fillId="2" borderId="34" xfId="0" applyNumberFormat="1" applyFont="1" applyFill="1" applyBorder="1" applyAlignment="1">
      <alignment horizontal="right"/>
    </xf>
    <xf numFmtId="2" fontId="4" fillId="2" borderId="4" xfId="0" applyNumberFormat="1" applyFont="1" applyFill="1" applyBorder="1"/>
    <xf numFmtId="44" fontId="9" fillId="0" borderId="0" xfId="0" applyNumberFormat="1" applyFont="1" applyAlignment="1">
      <alignment horizontal="left"/>
    </xf>
    <xf numFmtId="44" fontId="14" fillId="0" borderId="37" xfId="2" applyNumberFormat="1" applyFill="1" applyBorder="1" applyAlignment="1">
      <alignment horizontal="left"/>
    </xf>
    <xf numFmtId="2" fontId="4" fillId="3" borderId="42" xfId="0" applyNumberFormat="1" applyFont="1" applyFill="1" applyBorder="1" applyAlignment="1">
      <alignment horizontal="right"/>
    </xf>
    <xf numFmtId="2" fontId="4" fillId="3" borderId="3" xfId="0" applyNumberFormat="1" applyFont="1" applyFill="1" applyBorder="1" applyAlignment="1">
      <alignment horizontal="right" vertical="top" wrapText="1"/>
    </xf>
    <xf numFmtId="0" fontId="4" fillId="3" borderId="3" xfId="0" applyFont="1" applyFill="1" applyBorder="1" applyAlignment="1">
      <alignment horizontal="right" vertical="top" wrapText="1"/>
    </xf>
    <xf numFmtId="0" fontId="4" fillId="3" borderId="5" xfId="0" applyFont="1" applyFill="1" applyBorder="1" applyAlignment="1">
      <alignment horizontal="right" vertical="top" wrapText="1"/>
    </xf>
    <xf numFmtId="0" fontId="4" fillId="3" borderId="5" xfId="0" applyFont="1" applyFill="1" applyBorder="1" applyAlignment="1">
      <alignment horizontal="right"/>
    </xf>
    <xf numFmtId="2" fontId="4" fillId="3" borderId="5" xfId="0" applyNumberFormat="1" applyFont="1" applyFill="1" applyBorder="1" applyAlignment="1">
      <alignment horizontal="right" vertical="top" wrapText="1"/>
    </xf>
    <xf numFmtId="2" fontId="4" fillId="3" borderId="3" xfId="0" applyNumberFormat="1" applyFont="1" applyFill="1" applyBorder="1" applyAlignment="1">
      <alignment horizontal="right"/>
    </xf>
    <xf numFmtId="2" fontId="4" fillId="3" borderId="25" xfId="0" applyNumberFormat="1" applyFont="1" applyFill="1" applyBorder="1" applyAlignment="1">
      <alignment horizontal="right"/>
    </xf>
    <xf numFmtId="43" fontId="4" fillId="3" borderId="3" xfId="0" applyNumberFormat="1" applyFont="1" applyFill="1" applyBorder="1" applyAlignment="1">
      <alignment horizontal="right"/>
    </xf>
    <xf numFmtId="43" fontId="4" fillId="3" borderId="4" xfId="0" applyNumberFormat="1" applyFont="1" applyFill="1" applyBorder="1" applyAlignment="1">
      <alignment horizontal="right"/>
    </xf>
    <xf numFmtId="0" fontId="4" fillId="3" borderId="6" xfId="0" applyFont="1" applyFill="1" applyBorder="1" applyAlignment="1">
      <alignment horizontal="right"/>
    </xf>
    <xf numFmtId="2" fontId="4" fillId="3" borderId="11" xfId="0" applyNumberFormat="1" applyFont="1" applyFill="1" applyBorder="1" applyAlignment="1">
      <alignment horizontal="right"/>
    </xf>
    <xf numFmtId="43" fontId="4" fillId="3" borderId="11" xfId="0" applyNumberFormat="1" applyFont="1" applyFill="1" applyBorder="1" applyAlignment="1">
      <alignment horizontal="right"/>
    </xf>
    <xf numFmtId="2" fontId="4" fillId="3" borderId="3" xfId="0" applyNumberFormat="1" applyFont="1" applyFill="1" applyBorder="1" applyAlignment="1">
      <alignment horizontal="right" vertical="top" wrapText="1" indent="1"/>
    </xf>
    <xf numFmtId="2" fontId="4" fillId="3" borderId="4" xfId="0" applyNumberFormat="1" applyFont="1" applyFill="1" applyBorder="1" applyAlignment="1">
      <alignment horizontal="right" vertical="top" wrapText="1"/>
    </xf>
    <xf numFmtId="43" fontId="4" fillId="3" borderId="0" xfId="0" applyNumberFormat="1" applyFont="1" applyFill="1" applyBorder="1" applyAlignment="1">
      <alignment horizontal="right"/>
    </xf>
    <xf numFmtId="0" fontId="4" fillId="3" borderId="2" xfId="0" applyFont="1" applyFill="1" applyBorder="1" applyAlignment="1">
      <alignment horizontal="right"/>
    </xf>
    <xf numFmtId="2" fontId="4" fillId="2" borderId="59" xfId="0" applyNumberFormat="1" applyFont="1" applyFill="1" applyBorder="1" applyAlignment="1">
      <alignment horizontal="right" vertical="top" wrapText="1"/>
    </xf>
    <xf numFmtId="2" fontId="4" fillId="2" borderId="41" xfId="0" applyNumberFormat="1" applyFont="1" applyFill="1" applyBorder="1" applyAlignment="1">
      <alignment horizontal="right" vertical="top" wrapText="1"/>
    </xf>
    <xf numFmtId="2" fontId="4" fillId="2" borderId="11" xfId="0" applyNumberFormat="1" applyFont="1" applyFill="1" applyBorder="1" applyAlignment="1">
      <alignment horizontal="right" vertical="top" wrapText="1"/>
    </xf>
    <xf numFmtId="2" fontId="4" fillId="2" borderId="12" xfId="0" applyNumberFormat="1" applyFont="1" applyFill="1" applyBorder="1" applyAlignment="1">
      <alignment horizontal="right" vertical="top" wrapText="1"/>
    </xf>
    <xf numFmtId="2" fontId="4" fillId="0" borderId="2" xfId="0" applyNumberFormat="1" applyFont="1" applyFill="1" applyBorder="1" applyAlignment="1">
      <alignment horizontal="right"/>
    </xf>
    <xf numFmtId="2" fontId="14" fillId="0" borderId="0" xfId="2" applyNumberFormat="1" applyFill="1" applyAlignment="1">
      <alignment horizontal="left"/>
    </xf>
    <xf numFmtId="0" fontId="14" fillId="0" borderId="0" xfId="2" applyFill="1" applyAlignment="1">
      <alignment horizontal="left"/>
    </xf>
    <xf numFmtId="0" fontId="14" fillId="0" borderId="0" xfId="2" applyFill="1" applyBorder="1" applyAlignment="1">
      <alignment horizontal="left"/>
    </xf>
    <xf numFmtId="44" fontId="14" fillId="0" borderId="0" xfId="2" applyNumberFormat="1" applyFill="1" applyBorder="1" applyAlignment="1">
      <alignment horizontal="left"/>
    </xf>
    <xf numFmtId="44" fontId="14" fillId="0" borderId="0" xfId="2" applyNumberFormat="1" applyFill="1" applyAlignment="1">
      <alignment horizontal="left"/>
    </xf>
    <xf numFmtId="165" fontId="14" fillId="0" borderId="0" xfId="2" applyNumberFormat="1" applyFill="1" applyAlignment="1">
      <alignment horizontal="left"/>
    </xf>
    <xf numFmtId="166" fontId="14" fillId="0" borderId="0" xfId="2" applyNumberFormat="1" applyFill="1" applyAlignment="1">
      <alignment horizontal="left"/>
    </xf>
    <xf numFmtId="0" fontId="4" fillId="6" borderId="4" xfId="0" applyFont="1" applyFill="1" applyBorder="1"/>
    <xf numFmtId="0" fontId="5" fillId="6" borderId="4" xfId="0" applyFont="1" applyFill="1" applyBorder="1"/>
    <xf numFmtId="0" fontId="4" fillId="6" borderId="4" xfId="0" applyFont="1" applyFill="1" applyBorder="1" applyAlignment="1">
      <alignment horizontal="center"/>
    </xf>
    <xf numFmtId="0" fontId="4" fillId="6" borderId="24" xfId="0" applyFont="1" applyFill="1" applyBorder="1"/>
    <xf numFmtId="0" fontId="5" fillId="6" borderId="24" xfId="0" applyFont="1" applyFill="1" applyBorder="1"/>
    <xf numFmtId="0" fontId="4" fillId="6" borderId="24" xfId="0" applyFont="1" applyFill="1" applyBorder="1" applyAlignment="1">
      <alignment horizontal="center"/>
    </xf>
    <xf numFmtId="0" fontId="4" fillId="6" borderId="0" xfId="0" applyFont="1" applyFill="1" applyBorder="1"/>
    <xf numFmtId="0" fontId="0" fillId="6" borderId="4" xfId="0" applyFill="1" applyBorder="1"/>
    <xf numFmtId="2" fontId="4" fillId="6" borderId="2" xfId="0" applyNumberFormat="1" applyFont="1" applyFill="1" applyBorder="1" applyAlignment="1">
      <alignment horizontal="right"/>
    </xf>
    <xf numFmtId="2" fontId="4" fillId="6" borderId="34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center"/>
    </xf>
    <xf numFmtId="8" fontId="0" fillId="0" borderId="0" xfId="0" applyNumberFormat="1"/>
    <xf numFmtId="0" fontId="16" fillId="0" borderId="0" xfId="0" applyFont="1"/>
    <xf numFmtId="44" fontId="0" fillId="0" borderId="0" xfId="0" applyNumberFormat="1"/>
    <xf numFmtId="44" fontId="6" fillId="6" borderId="0" xfId="0" applyNumberFormat="1" applyFont="1" applyFill="1" applyBorder="1" applyAlignment="1">
      <alignment wrapText="1"/>
    </xf>
    <xf numFmtId="44" fontId="0" fillId="6" borderId="0" xfId="0" applyNumberFormat="1" applyFill="1" applyBorder="1"/>
    <xf numFmtId="44" fontId="6" fillId="6" borderId="43" xfId="0" applyNumberFormat="1" applyFont="1" applyFill="1" applyBorder="1" applyAlignment="1">
      <alignment wrapText="1"/>
    </xf>
    <xf numFmtId="44" fontId="0" fillId="6" borderId="43" xfId="0" applyNumberFormat="1" applyFill="1" applyBorder="1"/>
    <xf numFmtId="44" fontId="4" fillId="2" borderId="16" xfId="0" applyNumberFormat="1" applyFont="1" applyFill="1" applyBorder="1" applyAlignment="1">
      <alignment horizontal="center"/>
    </xf>
    <xf numFmtId="44" fontId="4" fillId="2" borderId="0" xfId="0" applyNumberFormat="1" applyFont="1" applyFill="1" applyBorder="1"/>
    <xf numFmtId="44" fontId="4" fillId="2" borderId="13" xfId="0" applyNumberFormat="1" applyFont="1" applyFill="1" applyBorder="1"/>
    <xf numFmtId="44" fontId="4" fillId="7" borderId="9" xfId="0" applyNumberFormat="1" applyFont="1" applyFill="1" applyBorder="1"/>
    <xf numFmtId="44" fontId="4" fillId="7" borderId="34" xfId="0" applyNumberFormat="1" applyFont="1" applyFill="1" applyBorder="1"/>
    <xf numFmtId="44" fontId="16" fillId="0" borderId="0" xfId="0" applyNumberFormat="1" applyFont="1"/>
    <xf numFmtId="44" fontId="0" fillId="6" borderId="63" xfId="0" applyNumberFormat="1" applyFill="1" applyBorder="1"/>
    <xf numFmtId="44" fontId="0" fillId="6" borderId="64" xfId="0" applyNumberFormat="1" applyFill="1" applyBorder="1"/>
    <xf numFmtId="44" fontId="4" fillId="2" borderId="2" xfId="0" applyNumberFormat="1" applyFont="1" applyFill="1" applyBorder="1" applyAlignment="1">
      <alignment horizontal="center"/>
    </xf>
    <xf numFmtId="44" fontId="4" fillId="2" borderId="63" xfId="0" applyNumberFormat="1" applyFont="1" applyFill="1" applyBorder="1" applyAlignment="1">
      <alignment horizontal="center"/>
    </xf>
    <xf numFmtId="44" fontId="4" fillId="2" borderId="16" xfId="0" applyNumberFormat="1" applyFont="1" applyFill="1" applyBorder="1"/>
    <xf numFmtId="44" fontId="4" fillId="2" borderId="2" xfId="0" applyNumberFormat="1" applyFont="1" applyFill="1" applyBorder="1"/>
    <xf numFmtId="44" fontId="4" fillId="2" borderId="63" xfId="0" applyNumberFormat="1" applyFont="1" applyFill="1" applyBorder="1"/>
    <xf numFmtId="44" fontId="4" fillId="7" borderId="35" xfId="0" applyNumberFormat="1" applyFont="1" applyFill="1" applyBorder="1"/>
    <xf numFmtId="44" fontId="4" fillId="7" borderId="69" xfId="0" applyNumberFormat="1" applyFont="1" applyFill="1" applyBorder="1"/>
    <xf numFmtId="44" fontId="4" fillId="7" borderId="39" xfId="0" applyNumberFormat="1" applyFont="1" applyFill="1" applyBorder="1"/>
    <xf numFmtId="44" fontId="4" fillId="7" borderId="70" xfId="0" applyNumberFormat="1" applyFont="1" applyFill="1" applyBorder="1"/>
    <xf numFmtId="44" fontId="4" fillId="7" borderId="6" xfId="0" applyNumberFormat="1" applyFont="1" applyFill="1" applyBorder="1"/>
    <xf numFmtId="44" fontId="5" fillId="0" borderId="0" xfId="0" applyNumberFormat="1" applyFont="1" applyFill="1" applyBorder="1" applyAlignment="1">
      <alignment horizontal="center"/>
    </xf>
    <xf numFmtId="44" fontId="4" fillId="7" borderId="14" xfId="0" applyNumberFormat="1" applyFont="1" applyFill="1" applyBorder="1"/>
    <xf numFmtId="6" fontId="0" fillId="0" borderId="0" xfId="0" applyNumberFormat="1"/>
    <xf numFmtId="44" fontId="0" fillId="6" borderId="0" xfId="0" applyNumberFormat="1" applyFill="1"/>
    <xf numFmtId="44" fontId="4" fillId="7" borderId="20" xfId="0" applyNumberFormat="1" applyFont="1" applyFill="1" applyBorder="1"/>
    <xf numFmtId="44" fontId="4" fillId="7" borderId="8" xfId="0" applyNumberFormat="1" applyFont="1" applyFill="1" applyBorder="1"/>
    <xf numFmtId="44" fontId="4" fillId="7" borderId="71" xfId="0" applyNumberFormat="1" applyFont="1" applyFill="1" applyBorder="1"/>
    <xf numFmtId="44" fontId="4" fillId="7" borderId="73" xfId="0" applyNumberFormat="1" applyFont="1" applyFill="1" applyBorder="1"/>
    <xf numFmtId="44" fontId="6" fillId="6" borderId="29" xfId="0" applyNumberFormat="1" applyFont="1" applyFill="1" applyBorder="1" applyAlignment="1">
      <alignment wrapText="1"/>
    </xf>
    <xf numFmtId="44" fontId="0" fillId="6" borderId="29" xfId="0" applyNumberFormat="1" applyFill="1" applyBorder="1"/>
    <xf numFmtId="44" fontId="0" fillId="6" borderId="74" xfId="0" applyNumberFormat="1" applyFill="1" applyBorder="1"/>
    <xf numFmtId="44" fontId="4" fillId="6" borderId="35" xfId="0" applyNumberFormat="1" applyFont="1" applyFill="1" applyBorder="1"/>
    <xf numFmtId="44" fontId="4" fillId="6" borderId="9" xfId="0" applyNumberFormat="1" applyFont="1" applyFill="1" applyBorder="1"/>
    <xf numFmtId="44" fontId="4" fillId="6" borderId="39" xfId="0" applyNumberFormat="1" applyFont="1" applyFill="1" applyBorder="1"/>
    <xf numFmtId="44" fontId="4" fillId="6" borderId="34" xfId="0" applyNumberFormat="1" applyFont="1" applyFill="1" applyBorder="1"/>
    <xf numFmtId="44" fontId="4" fillId="6" borderId="6" xfId="0" applyNumberFormat="1" applyFont="1" applyFill="1" applyBorder="1"/>
    <xf numFmtId="44" fontId="4" fillId="6" borderId="14" xfId="0" applyNumberFormat="1" applyFont="1" applyFill="1" applyBorder="1"/>
    <xf numFmtId="44" fontId="4" fillId="2" borderId="40" xfId="0" applyNumberFormat="1" applyFont="1" applyFill="1" applyBorder="1"/>
    <xf numFmtId="44" fontId="4" fillId="2" borderId="18" xfId="0" applyNumberFormat="1" applyFont="1" applyFill="1" applyBorder="1" applyAlignment="1">
      <alignment horizontal="center"/>
    </xf>
    <xf numFmtId="44" fontId="4" fillId="2" borderId="41" xfId="0" applyNumberFormat="1" applyFont="1" applyFill="1" applyBorder="1"/>
    <xf numFmtId="2" fontId="4" fillId="6" borderId="1" xfId="0" applyNumberFormat="1" applyFont="1" applyFill="1" applyBorder="1" applyAlignment="1">
      <alignment horizontal="right"/>
    </xf>
    <xf numFmtId="2" fontId="4" fillId="6" borderId="31" xfId="0" applyNumberFormat="1" applyFont="1" applyFill="1" applyBorder="1" applyAlignment="1">
      <alignment horizontal="right"/>
    </xf>
    <xf numFmtId="2" fontId="4" fillId="2" borderId="25" xfId="0" applyNumberFormat="1" applyFont="1" applyFill="1" applyBorder="1" applyAlignment="1">
      <alignment horizontal="right"/>
    </xf>
    <xf numFmtId="0" fontId="4" fillId="2" borderId="50" xfId="0" applyFont="1" applyFill="1" applyBorder="1" applyAlignment="1">
      <alignment horizontal="center" wrapText="1"/>
    </xf>
    <xf numFmtId="0" fontId="4" fillId="2" borderId="44" xfId="0" applyFont="1" applyFill="1" applyBorder="1" applyAlignment="1">
      <alignment horizontal="center"/>
    </xf>
    <xf numFmtId="2" fontId="4" fillId="2" borderId="50" xfId="0" applyNumberFormat="1" applyFont="1" applyFill="1" applyBorder="1" applyAlignment="1">
      <alignment horizontal="right"/>
    </xf>
    <xf numFmtId="2" fontId="4" fillId="2" borderId="32" xfId="0" applyNumberFormat="1" applyFont="1" applyFill="1" applyBorder="1" applyAlignment="1">
      <alignment horizontal="right"/>
    </xf>
    <xf numFmtId="44" fontId="4" fillId="2" borderId="17" xfId="0" applyNumberFormat="1" applyFont="1" applyFill="1" applyBorder="1" applyAlignment="1">
      <alignment horizontal="center"/>
    </xf>
    <xf numFmtId="44" fontId="4" fillId="2" borderId="76" xfId="0" applyNumberFormat="1" applyFont="1" applyFill="1" applyBorder="1" applyAlignment="1">
      <alignment horizontal="center"/>
    </xf>
    <xf numFmtId="44" fontId="4" fillId="6" borderId="71" xfId="0" applyNumberFormat="1" applyFont="1" applyFill="1" applyBorder="1"/>
    <xf numFmtId="44" fontId="4" fillId="6" borderId="72" xfId="0" applyNumberFormat="1" applyFont="1" applyFill="1" applyBorder="1"/>
    <xf numFmtId="44" fontId="4" fillId="6" borderId="5" xfId="0" applyNumberFormat="1" applyFont="1" applyFill="1" applyBorder="1"/>
    <xf numFmtId="44" fontId="4" fillId="7" borderId="18" xfId="0" applyNumberFormat="1" applyFont="1" applyFill="1" applyBorder="1" applyAlignment="1">
      <alignment horizontal="center"/>
    </xf>
    <xf numFmtId="44" fontId="4" fillId="7" borderId="13" xfId="0" applyNumberFormat="1" applyFont="1" applyFill="1" applyBorder="1"/>
    <xf numFmtId="44" fontId="4" fillId="6" borderId="18" xfId="0" applyNumberFormat="1" applyFont="1" applyFill="1" applyBorder="1" applyAlignment="1">
      <alignment horizontal="center"/>
    </xf>
    <xf numFmtId="44" fontId="4" fillId="6" borderId="75" xfId="0" applyNumberFormat="1" applyFont="1" applyFill="1" applyBorder="1" applyAlignment="1">
      <alignment horizontal="center"/>
    </xf>
    <xf numFmtId="44" fontId="4" fillId="6" borderId="16" xfId="0" applyNumberFormat="1" applyFont="1" applyFill="1" applyBorder="1"/>
    <xf numFmtId="44" fontId="4" fillId="6" borderId="41" xfId="0" applyNumberFormat="1" applyFont="1" applyFill="1" applyBorder="1"/>
    <xf numFmtId="44" fontId="4" fillId="6" borderId="73" xfId="0" applyNumberFormat="1" applyFont="1" applyFill="1" applyBorder="1"/>
    <xf numFmtId="44" fontId="4" fillId="2" borderId="50" xfId="0" applyNumberFormat="1" applyFont="1" applyFill="1" applyBorder="1" applyAlignment="1">
      <alignment horizontal="center"/>
    </xf>
    <xf numFmtId="44" fontId="4" fillId="2" borderId="41" xfId="0" applyNumberFormat="1" applyFont="1" applyFill="1" applyBorder="1" applyAlignment="1">
      <alignment horizontal="center"/>
    </xf>
    <xf numFmtId="44" fontId="4" fillId="7" borderId="36" xfId="0" applyNumberFormat="1" applyFont="1" applyFill="1" applyBorder="1"/>
    <xf numFmtId="44" fontId="4" fillId="6" borderId="13" xfId="0" applyNumberFormat="1" applyFont="1" applyFill="1" applyBorder="1"/>
    <xf numFmtId="44" fontId="4" fillId="6" borderId="69" xfId="0" applyNumberFormat="1" applyFont="1" applyFill="1" applyBorder="1"/>
    <xf numFmtId="44" fontId="4" fillId="6" borderId="20" xfId="0" applyNumberFormat="1" applyFont="1" applyFill="1" applyBorder="1"/>
    <xf numFmtId="44" fontId="4" fillId="6" borderId="8" xfId="0" applyNumberFormat="1" applyFont="1" applyFill="1" applyBorder="1"/>
    <xf numFmtId="44" fontId="4" fillId="6" borderId="36" xfId="0" applyNumberFormat="1" applyFont="1" applyFill="1" applyBorder="1"/>
    <xf numFmtId="2" fontId="4" fillId="7" borderId="34" xfId="0" applyNumberFormat="1" applyFont="1" applyFill="1" applyBorder="1" applyAlignment="1">
      <alignment horizontal="right"/>
    </xf>
    <xf numFmtId="2" fontId="4" fillId="7" borderId="39" xfId="0" applyNumberFormat="1" applyFont="1" applyFill="1" applyBorder="1" applyAlignment="1">
      <alignment horizontal="right"/>
    </xf>
    <xf numFmtId="44" fontId="4" fillId="2" borderId="75" xfId="0" applyNumberFormat="1" applyFont="1" applyFill="1" applyBorder="1" applyAlignment="1">
      <alignment horizontal="center"/>
    </xf>
    <xf numFmtId="44" fontId="4" fillId="7" borderId="5" xfId="0" applyNumberFormat="1" applyFont="1" applyFill="1" applyBorder="1"/>
    <xf numFmtId="2" fontId="4" fillId="2" borderId="14" xfId="0" applyNumberFormat="1" applyFont="1" applyFill="1" applyBorder="1" applyAlignment="1">
      <alignment horizontal="right"/>
    </xf>
    <xf numFmtId="44" fontId="4" fillId="6" borderId="77" xfId="0" applyNumberFormat="1" applyFont="1" applyFill="1" applyBorder="1"/>
    <xf numFmtId="44" fontId="4" fillId="6" borderId="49" xfId="0" applyNumberFormat="1" applyFont="1" applyFill="1" applyBorder="1"/>
    <xf numFmtId="44" fontId="4" fillId="6" borderId="7" xfId="0" applyNumberFormat="1" applyFont="1" applyFill="1" applyBorder="1"/>
    <xf numFmtId="0" fontId="4" fillId="2" borderId="53" xfId="0" applyFont="1" applyFill="1" applyBorder="1" applyAlignment="1">
      <alignment horizontal="right"/>
    </xf>
    <xf numFmtId="0" fontId="4" fillId="2" borderId="78" xfId="0" applyFont="1" applyFill="1" applyBorder="1" applyAlignment="1">
      <alignment horizontal="right"/>
    </xf>
    <xf numFmtId="0" fontId="4" fillId="2" borderId="43" xfId="0" applyFont="1" applyFill="1" applyBorder="1"/>
    <xf numFmtId="2" fontId="4" fillId="2" borderId="79" xfId="0" applyNumberFormat="1" applyFont="1" applyFill="1" applyBorder="1" applyAlignment="1">
      <alignment horizontal="right" vertical="top" wrapText="1"/>
    </xf>
    <xf numFmtId="2" fontId="4" fillId="2" borderId="80" xfId="0" applyNumberFormat="1" applyFont="1" applyFill="1" applyBorder="1" applyAlignment="1">
      <alignment horizontal="right" vertical="top" wrapText="1"/>
    </xf>
    <xf numFmtId="4" fontId="4" fillId="2" borderId="79" xfId="0" applyNumberFormat="1" applyFont="1" applyFill="1" applyBorder="1" applyAlignment="1">
      <alignment horizontal="right"/>
    </xf>
    <xf numFmtId="2" fontId="4" fillId="2" borderId="78" xfId="0" applyNumberFormat="1" applyFont="1" applyFill="1" applyBorder="1" applyAlignment="1">
      <alignment horizontal="right"/>
    </xf>
    <xf numFmtId="2" fontId="4" fillId="2" borderId="43" xfId="0" applyNumberFormat="1" applyFont="1" applyFill="1" applyBorder="1" applyAlignment="1">
      <alignment horizontal="right"/>
    </xf>
    <xf numFmtId="2" fontId="4" fillId="2" borderId="55" xfId="0" applyNumberFormat="1" applyFont="1" applyFill="1" applyBorder="1" applyAlignment="1">
      <alignment horizontal="right"/>
    </xf>
    <xf numFmtId="2" fontId="4" fillId="6" borderId="81" xfId="0" applyNumberFormat="1" applyFont="1" applyFill="1" applyBorder="1" applyAlignment="1">
      <alignment horizontal="right"/>
    </xf>
    <xf numFmtId="2" fontId="4" fillId="6" borderId="78" xfId="0" applyNumberFormat="1" applyFont="1" applyFill="1" applyBorder="1" applyAlignment="1">
      <alignment horizontal="right"/>
    </xf>
    <xf numFmtId="44" fontId="4" fillId="6" borderId="53" xfId="0" applyNumberFormat="1" applyFont="1" applyFill="1" applyBorder="1"/>
    <xf numFmtId="44" fontId="4" fillId="6" borderId="82" xfId="0" applyNumberFormat="1" applyFont="1" applyFill="1" applyBorder="1"/>
    <xf numFmtId="44" fontId="4" fillId="6" borderId="78" xfId="0" applyNumberFormat="1" applyFont="1" applyFill="1" applyBorder="1"/>
    <xf numFmtId="44" fontId="4" fillId="6" borderId="83" xfId="0" applyNumberFormat="1" applyFont="1" applyFill="1" applyBorder="1"/>
    <xf numFmtId="8" fontId="0" fillId="0" borderId="24" xfId="0" applyNumberFormat="1" applyBorder="1"/>
    <xf numFmtId="2" fontId="4" fillId="7" borderId="78" xfId="0" applyNumberFormat="1" applyFont="1" applyFill="1" applyBorder="1" applyAlignment="1">
      <alignment horizontal="right"/>
    </xf>
    <xf numFmtId="44" fontId="4" fillId="6" borderId="85" xfId="0" applyNumberFormat="1" applyFont="1" applyFill="1" applyBorder="1"/>
    <xf numFmtId="44" fontId="4" fillId="6" borderId="86" xfId="0" applyNumberFormat="1" applyFont="1" applyFill="1" applyBorder="1"/>
    <xf numFmtId="44" fontId="4" fillId="6" borderId="87" xfId="0" applyNumberFormat="1" applyFont="1" applyFill="1" applyBorder="1"/>
    <xf numFmtId="44" fontId="4" fillId="6" borderId="84" xfId="0" applyNumberFormat="1" applyFont="1" applyFill="1" applyBorder="1"/>
    <xf numFmtId="44" fontId="4" fillId="6" borderId="88" xfId="0" applyNumberFormat="1" applyFont="1" applyFill="1" applyBorder="1"/>
    <xf numFmtId="0" fontId="4" fillId="7" borderId="39" xfId="0" applyNumberFormat="1" applyFont="1" applyFill="1" applyBorder="1"/>
    <xf numFmtId="2" fontId="4" fillId="7" borderId="53" xfId="0" applyNumberFormat="1" applyFont="1" applyFill="1" applyBorder="1" applyAlignment="1">
      <alignment horizontal="right"/>
    </xf>
    <xf numFmtId="0" fontId="4" fillId="7" borderId="53" xfId="0" applyNumberFormat="1" applyFont="1" applyFill="1" applyBorder="1"/>
    <xf numFmtId="44" fontId="4" fillId="7" borderId="53" xfId="0" applyNumberFormat="1" applyFont="1" applyFill="1" applyBorder="1"/>
    <xf numFmtId="0" fontId="5" fillId="8" borderId="0" xfId="0" applyFont="1" applyFill="1" applyBorder="1" applyAlignment="1">
      <alignment horizontal="center"/>
    </xf>
    <xf numFmtId="0" fontId="5" fillId="8" borderId="63" xfId="0" applyFont="1" applyFill="1" applyBorder="1" applyAlignment="1">
      <alignment horizontal="center"/>
    </xf>
    <xf numFmtId="0" fontId="0" fillId="8" borderId="0" xfId="0" applyFill="1"/>
    <xf numFmtId="2" fontId="0" fillId="0" borderId="48" xfId="0" applyNumberFormat="1" applyBorder="1"/>
    <xf numFmtId="0" fontId="16" fillId="0" borderId="26" xfId="0" applyFont="1" applyBorder="1"/>
    <xf numFmtId="44" fontId="0" fillId="0" borderId="0" xfId="0" applyNumberFormat="1" applyBorder="1" applyAlignment="1"/>
    <xf numFmtId="0" fontId="0" fillId="0" borderId="41" xfId="0" applyBorder="1"/>
    <xf numFmtId="0" fontId="16" fillId="0" borderId="26" xfId="0" applyFont="1" applyBorder="1" applyAlignment="1">
      <alignment horizontal="left" vertical="top" indent="1"/>
    </xf>
    <xf numFmtId="0" fontId="0" fillId="0" borderId="0" xfId="0" applyBorder="1" applyAlignment="1">
      <alignment horizontal="left" vertical="top" indent="1"/>
    </xf>
    <xf numFmtId="44" fontId="0" fillId="0" borderId="89" xfId="1" applyNumberFormat="1" applyFont="1" applyBorder="1" applyAlignment="1">
      <alignment horizontal="left" vertical="top"/>
    </xf>
    <xf numFmtId="44" fontId="0" fillId="0" borderId="0" xfId="1" applyNumberFormat="1" applyFont="1" applyBorder="1"/>
    <xf numFmtId="2" fontId="0" fillId="0" borderId="0" xfId="0" applyNumberFormat="1" applyBorder="1"/>
    <xf numFmtId="43" fontId="0" fillId="0" borderId="0" xfId="3" applyFont="1" applyBorder="1"/>
    <xf numFmtId="0" fontId="16" fillId="0" borderId="26" xfId="0" applyFont="1" applyBorder="1" applyAlignment="1">
      <alignment horizontal="left" indent="1"/>
    </xf>
    <xf numFmtId="44" fontId="0" fillId="0" borderId="41" xfId="0" applyNumberFormat="1" applyBorder="1"/>
    <xf numFmtId="43" fontId="0" fillId="0" borderId="90" xfId="3" applyFont="1" applyBorder="1"/>
    <xf numFmtId="44" fontId="0" fillId="0" borderId="91" xfId="0" applyNumberFormat="1" applyBorder="1"/>
    <xf numFmtId="0" fontId="0" fillId="0" borderId="25" xfId="0" applyBorder="1"/>
    <xf numFmtId="0" fontId="0" fillId="0" borderId="4" xfId="0" applyBorder="1"/>
    <xf numFmtId="0" fontId="0" fillId="0" borderId="5" xfId="0" applyBorder="1"/>
    <xf numFmtId="0" fontId="18" fillId="0" borderId="0" xfId="0" applyFont="1" applyAlignment="1">
      <alignment horizontal="left" indent="1"/>
    </xf>
    <xf numFmtId="0" fontId="4" fillId="6" borderId="66" xfId="0" applyFont="1" applyFill="1" applyBorder="1"/>
    <xf numFmtId="0" fontId="4" fillId="6" borderId="67" xfId="0" applyFont="1" applyFill="1" applyBorder="1"/>
    <xf numFmtId="0" fontId="4" fillId="6" borderId="67" xfId="0" applyFont="1" applyFill="1" applyBorder="1" applyAlignment="1">
      <alignment horizontal="right"/>
    </xf>
    <xf numFmtId="0" fontId="4" fillId="6" borderId="68" xfId="0" applyFont="1" applyFill="1" applyBorder="1" applyAlignment="1">
      <alignment horizontal="right"/>
    </xf>
    <xf numFmtId="16" fontId="4" fillId="6" borderId="67" xfId="0" applyNumberFormat="1" applyFont="1" applyFill="1" applyBorder="1"/>
    <xf numFmtId="44" fontId="4" fillId="6" borderId="67" xfId="0" applyNumberFormat="1" applyFont="1" applyFill="1" applyBorder="1"/>
    <xf numFmtId="0" fontId="4" fillId="6" borderId="68" xfId="0" applyFont="1" applyFill="1" applyBorder="1"/>
    <xf numFmtId="0" fontId="4" fillId="6" borderId="67" xfId="0" applyFont="1" applyFill="1" applyBorder="1" applyAlignment="1">
      <alignment horizontal="left" indent="1"/>
    </xf>
    <xf numFmtId="43" fontId="4" fillId="6" borderId="68" xfId="3" applyFont="1" applyFill="1" applyBorder="1"/>
    <xf numFmtId="43" fontId="4" fillId="6" borderId="68" xfId="3" applyFont="1" applyFill="1" applyBorder="1" applyAlignment="1">
      <alignment horizontal="right"/>
    </xf>
    <xf numFmtId="0" fontId="4" fillId="6" borderId="67" xfId="0" applyFont="1" applyFill="1" applyBorder="1" applyAlignment="1">
      <alignment horizontal="left"/>
    </xf>
    <xf numFmtId="0" fontId="19" fillId="6" borderId="67" xfId="0" applyFont="1" applyFill="1" applyBorder="1"/>
    <xf numFmtId="43" fontId="4" fillId="6" borderId="67" xfId="3" applyFont="1" applyFill="1" applyBorder="1"/>
    <xf numFmtId="0" fontId="10" fillId="4" borderId="48" xfId="0" applyFont="1" applyFill="1" applyBorder="1" applyAlignment="1">
      <alignment horizontal="center"/>
    </xf>
    <xf numFmtId="0" fontId="4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/>
    </xf>
    <xf numFmtId="0" fontId="4" fillId="2" borderId="45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21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right" vertical="center" textRotation="90" wrapText="1"/>
    </xf>
    <xf numFmtId="0" fontId="4" fillId="2" borderId="13" xfId="0" applyFont="1" applyFill="1" applyBorder="1" applyAlignment="1">
      <alignment horizontal="right" vertical="center" textRotation="90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right" textRotation="90" wrapText="1"/>
    </xf>
    <xf numFmtId="0" fontId="4" fillId="2" borderId="13" xfId="0" applyFont="1" applyFill="1" applyBorder="1" applyAlignment="1">
      <alignment horizontal="right" textRotation="90" wrapText="1"/>
    </xf>
    <xf numFmtId="0" fontId="4" fillId="2" borderId="18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center" wrapText="1"/>
    </xf>
    <xf numFmtId="0" fontId="4" fillId="2" borderId="3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2" fillId="4" borderId="66" xfId="0" applyFont="1" applyFill="1" applyBorder="1" applyAlignment="1">
      <alignment horizontal="center"/>
    </xf>
    <xf numFmtId="0" fontId="12" fillId="4" borderId="67" xfId="0" applyFont="1" applyFill="1" applyBorder="1" applyAlignment="1">
      <alignment horizontal="center"/>
    </xf>
    <xf numFmtId="0" fontId="12" fillId="4" borderId="68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6" borderId="63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textRotation="90" wrapText="1"/>
    </xf>
    <xf numFmtId="0" fontId="4" fillId="2" borderId="16" xfId="0" applyFont="1" applyFill="1" applyBorder="1" applyAlignment="1">
      <alignment horizontal="center" textRotation="90" wrapText="1"/>
    </xf>
    <xf numFmtId="0" fontId="4" fillId="2" borderId="13" xfId="0" applyFont="1" applyFill="1" applyBorder="1" applyAlignment="1">
      <alignment horizontal="center" textRotation="90" wrapText="1"/>
    </xf>
    <xf numFmtId="0" fontId="4" fillId="2" borderId="19" xfId="0" applyFont="1" applyFill="1" applyBorder="1" applyAlignment="1">
      <alignment horizontal="right" textRotation="90" wrapText="1"/>
    </xf>
    <xf numFmtId="0" fontId="4" fillId="2" borderId="16" xfId="0" applyFont="1" applyFill="1" applyBorder="1" applyAlignment="1">
      <alignment horizontal="right" textRotation="90" wrapText="1"/>
    </xf>
    <xf numFmtId="0" fontId="4" fillId="2" borderId="61" xfId="0" applyFont="1" applyFill="1" applyBorder="1" applyAlignment="1">
      <alignment horizontal="center"/>
    </xf>
    <xf numFmtId="0" fontId="4" fillId="2" borderId="62" xfId="0" applyFont="1" applyFill="1" applyBorder="1" applyAlignment="1">
      <alignment horizontal="center"/>
    </xf>
    <xf numFmtId="0" fontId="4" fillId="2" borderId="65" xfId="0" applyFont="1" applyFill="1" applyBorder="1" applyAlignment="1">
      <alignment horizontal="center"/>
    </xf>
    <xf numFmtId="44" fontId="4" fillId="2" borderId="38" xfId="0" applyNumberFormat="1" applyFont="1" applyFill="1" applyBorder="1" applyAlignment="1">
      <alignment horizontal="center" vertical="center"/>
    </xf>
    <xf numFmtId="44" fontId="4" fillId="2" borderId="23" xfId="0" applyNumberFormat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/>
    </xf>
    <xf numFmtId="0" fontId="19" fillId="6" borderId="67" xfId="0" applyFont="1" applyFill="1" applyBorder="1" applyAlignment="1">
      <alignment horizontal="left" wrapText="1"/>
    </xf>
    <xf numFmtId="0" fontId="19" fillId="6" borderId="68" xfId="0" applyFont="1" applyFill="1" applyBorder="1" applyAlignment="1">
      <alignment horizontal="left" wrapText="1"/>
    </xf>
    <xf numFmtId="0" fontId="17" fillId="7" borderId="28" xfId="0" applyFont="1" applyFill="1" applyBorder="1" applyAlignment="1">
      <alignment horizontal="center"/>
    </xf>
    <xf numFmtId="0" fontId="17" fillId="7" borderId="29" xfId="0" applyFont="1" applyFill="1" applyBorder="1" applyAlignment="1">
      <alignment horizontal="center"/>
    </xf>
    <xf numFmtId="0" fontId="17" fillId="7" borderId="76" xfId="0" applyFont="1" applyFill="1" applyBorder="1" applyAlignment="1">
      <alignment horizontal="center"/>
    </xf>
    <xf numFmtId="0" fontId="5" fillId="7" borderId="28" xfId="0" applyFont="1" applyFill="1" applyBorder="1" applyAlignment="1">
      <alignment horizontal="center" vertical="center"/>
    </xf>
    <xf numFmtId="0" fontId="5" fillId="7" borderId="29" xfId="0" applyFont="1" applyFill="1" applyBorder="1" applyAlignment="1">
      <alignment horizontal="center" vertical="center"/>
    </xf>
    <xf numFmtId="0" fontId="5" fillId="7" borderId="76" xfId="0" applyFont="1" applyFill="1" applyBorder="1" applyAlignment="1">
      <alignment horizontal="center" vertical="center"/>
    </xf>
    <xf numFmtId="0" fontId="5" fillId="7" borderId="26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0" fontId="5" fillId="7" borderId="41" xfId="0" applyFont="1" applyFill="1" applyBorder="1" applyAlignment="1">
      <alignment horizontal="center" vertical="center"/>
    </xf>
  </cellXfs>
  <cellStyles count="4">
    <cellStyle name="Bad" xfId="2" builtinId="27"/>
    <cellStyle name="Comma" xfId="3" builtinId="3"/>
    <cellStyle name="Currency" xfId="1" builtinId="4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323850</xdr:colOff>
      <xdr:row>10</xdr:row>
      <xdr:rowOff>133350</xdr:rowOff>
    </xdr:from>
    <xdr:to>
      <xdr:col>19</xdr:col>
      <xdr:colOff>247650</xdr:colOff>
      <xdr:row>19</xdr:row>
      <xdr:rowOff>38100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8406B81F-45C6-40C1-B2E5-E2A7023D6A1B}"/>
            </a:ext>
          </a:extLst>
        </xdr:cNvPr>
        <xdr:cNvCxnSpPr/>
      </xdr:nvCxnSpPr>
      <xdr:spPr>
        <a:xfrm flipH="1">
          <a:off x="11449050" y="2362200"/>
          <a:ext cx="695325" cy="1704975"/>
        </a:xfrm>
        <a:prstGeom prst="straightConnector1">
          <a:avLst/>
        </a:prstGeom>
        <a:ln>
          <a:tailEnd type="triangle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"/>
  <sheetViews>
    <sheetView workbookViewId="0">
      <selection activeCell="H23" sqref="H23"/>
    </sheetView>
  </sheetViews>
  <sheetFormatPr defaultColWidth="8.75" defaultRowHeight="15.75" x14ac:dyDescent="0.25"/>
  <cols>
    <col min="1" max="1" width="5.5" style="35" customWidth="1"/>
    <col min="2" max="2" width="15.75" style="35" bestFit="1" customWidth="1"/>
    <col min="3" max="3" width="2.875" style="35" bestFit="1" customWidth="1"/>
    <col min="4" max="4" width="3.875" style="35" bestFit="1" customWidth="1"/>
    <col min="5" max="5" width="2.875" style="35" bestFit="1" customWidth="1"/>
    <col min="6" max="6" width="3.5" style="35" bestFit="1" customWidth="1"/>
    <col min="7" max="7" width="2.875" style="35" bestFit="1" customWidth="1"/>
    <col min="8" max="8" width="4.875" style="35" bestFit="1" customWidth="1"/>
    <col min="9" max="9" width="8.375" style="35" customWidth="1"/>
    <col min="10" max="10" width="8.75" style="35" customWidth="1"/>
    <col min="11" max="11" width="5.875" style="35" hidden="1" customWidth="1"/>
    <col min="12" max="12" width="7" style="35" hidden="1" customWidth="1"/>
    <col min="13" max="13" width="8.75" style="35"/>
    <col min="14" max="14" width="14.125" style="35" bestFit="1" customWidth="1"/>
    <col min="15" max="15" width="22.625" style="35" customWidth="1"/>
    <col min="16" max="16" width="8.375" hidden="1" customWidth="1"/>
    <col min="17" max="17" width="10.375" style="35" hidden="1" customWidth="1"/>
    <col min="18" max="18" width="9.625" style="35" hidden="1" customWidth="1"/>
    <col min="19" max="19" width="10.125" style="35" hidden="1" customWidth="1"/>
    <col min="20" max="20" width="13.125" style="35" hidden="1" customWidth="1"/>
    <col min="21" max="21" width="11.5" style="35" hidden="1" customWidth="1"/>
    <col min="22" max="22" width="11.625" style="35" hidden="1" customWidth="1"/>
    <col min="23" max="23" width="14" style="35" hidden="1" customWidth="1"/>
    <col min="24" max="16384" width="8.75" style="35"/>
  </cols>
  <sheetData>
    <row r="1" spans="1:23" x14ac:dyDescent="0.25">
      <c r="A1" s="35" t="s">
        <v>0</v>
      </c>
      <c r="O1" s="35" t="s">
        <v>1</v>
      </c>
      <c r="S1" s="49">
        <f>40</f>
        <v>40</v>
      </c>
    </row>
    <row r="3" spans="1:23" ht="16.5" x14ac:dyDescent="0.3">
      <c r="A3" s="298" t="s">
        <v>2</v>
      </c>
      <c r="B3" s="298"/>
      <c r="C3" s="298"/>
      <c r="D3" s="298"/>
      <c r="E3" s="298"/>
      <c r="F3" s="298"/>
      <c r="G3" s="298"/>
      <c r="H3" s="298"/>
      <c r="I3" s="298"/>
      <c r="J3" s="298"/>
      <c r="M3" s="298" t="s">
        <v>3</v>
      </c>
      <c r="N3" s="298"/>
      <c r="O3" s="298"/>
      <c r="Q3"/>
      <c r="R3"/>
    </row>
    <row r="4" spans="1:23" ht="33" x14ac:dyDescent="0.3">
      <c r="A4" s="38" t="s">
        <v>4</v>
      </c>
      <c r="B4" s="38" t="s">
        <v>5</v>
      </c>
      <c r="C4" s="38" t="s">
        <v>6</v>
      </c>
      <c r="D4" s="38" t="s">
        <v>7</v>
      </c>
      <c r="E4" s="38" t="s">
        <v>8</v>
      </c>
      <c r="F4" s="38" t="s">
        <v>9</v>
      </c>
      <c r="G4" s="38" t="s">
        <v>10</v>
      </c>
      <c r="H4" s="38" t="s">
        <v>11</v>
      </c>
      <c r="I4" s="39" t="s">
        <v>12</v>
      </c>
      <c r="J4" s="39" t="s">
        <v>13</v>
      </c>
      <c r="K4" s="35" t="s">
        <v>14</v>
      </c>
      <c r="L4" s="35" t="s">
        <v>15</v>
      </c>
      <c r="M4" s="47" t="s">
        <v>4</v>
      </c>
      <c r="N4" s="47" t="s">
        <v>5</v>
      </c>
      <c r="O4" s="48" t="s">
        <v>16</v>
      </c>
      <c r="P4" s="35" t="s">
        <v>17</v>
      </c>
      <c r="Q4" s="35" t="s">
        <v>18</v>
      </c>
      <c r="R4" s="35" t="s">
        <v>19</v>
      </c>
      <c r="S4" s="35" t="s">
        <v>20</v>
      </c>
      <c r="T4" s="35" t="s">
        <v>21</v>
      </c>
      <c r="U4" s="35" t="s">
        <v>22</v>
      </c>
      <c r="V4" s="35" t="s">
        <v>23</v>
      </c>
      <c r="W4" s="35" t="s">
        <v>24</v>
      </c>
    </row>
    <row r="5" spans="1:23" x14ac:dyDescent="0.25">
      <c r="A5" s="37">
        <v>11</v>
      </c>
      <c r="B5" s="34" t="s">
        <v>25</v>
      </c>
      <c r="C5" s="37">
        <v>8</v>
      </c>
      <c r="D5" s="37">
        <v>8</v>
      </c>
      <c r="E5" s="37">
        <v>8</v>
      </c>
      <c r="F5" s="37">
        <v>8</v>
      </c>
      <c r="G5" s="37">
        <v>8</v>
      </c>
      <c r="H5" s="37" t="s">
        <v>26</v>
      </c>
      <c r="I5" s="37">
        <v>40</v>
      </c>
      <c r="J5" s="37"/>
      <c r="K5" s="49">
        <v>40</v>
      </c>
      <c r="L5" s="35">
        <f t="shared" ref="L5:L13" si="0">IF(I5&gt;$S$1,I5-$S$1,0)</f>
        <v>0</v>
      </c>
      <c r="M5" s="37">
        <v>11</v>
      </c>
      <c r="N5" s="34" t="s">
        <v>25</v>
      </c>
      <c r="O5" s="36" t="s">
        <v>27</v>
      </c>
      <c r="Q5" s="52"/>
      <c r="R5" s="52"/>
      <c r="S5" s="50">
        <v>17.5</v>
      </c>
      <c r="T5" s="116">
        <f>S5*K5</f>
        <v>700</v>
      </c>
      <c r="U5" s="51">
        <f>S5*1.5</f>
        <v>26.25</v>
      </c>
      <c r="V5" s="49">
        <f>U5*L5</f>
        <v>0</v>
      </c>
      <c r="W5" s="55">
        <f>T5+V5</f>
        <v>700</v>
      </c>
    </row>
    <row r="6" spans="1:23" x14ac:dyDescent="0.25">
      <c r="A6" s="37">
        <v>12</v>
      </c>
      <c r="B6" s="34" t="s">
        <v>28</v>
      </c>
      <c r="C6" s="37">
        <v>8</v>
      </c>
      <c r="D6" s="37">
        <v>8</v>
      </c>
      <c r="E6" s="37">
        <v>8</v>
      </c>
      <c r="F6" s="37">
        <v>8</v>
      </c>
      <c r="G6" s="37">
        <v>8</v>
      </c>
      <c r="H6" s="37">
        <v>8</v>
      </c>
      <c r="I6" s="37">
        <v>48</v>
      </c>
      <c r="J6" s="37"/>
      <c r="K6" s="49">
        <f>IF(I6&gt;$S$1,S$1,I6)</f>
        <v>40</v>
      </c>
      <c r="L6" s="35">
        <f t="shared" si="0"/>
        <v>8</v>
      </c>
      <c r="M6" s="37">
        <v>12</v>
      </c>
      <c r="N6" s="34" t="s">
        <v>28</v>
      </c>
      <c r="O6" s="36" t="s">
        <v>29</v>
      </c>
      <c r="Q6" s="52"/>
      <c r="R6" s="52"/>
      <c r="S6" s="50">
        <v>17.25</v>
      </c>
      <c r="T6" s="116">
        <f t="shared" ref="T6:T11" si="1">S6*K6</f>
        <v>690</v>
      </c>
      <c r="U6" s="51">
        <f t="shared" ref="U6:U13" si="2">S6*1.5</f>
        <v>25.875</v>
      </c>
      <c r="V6" s="49">
        <f>25.88*8</f>
        <v>207.04</v>
      </c>
      <c r="W6" s="55">
        <f t="shared" ref="W6:W14" si="3">T6+V6</f>
        <v>897.04</v>
      </c>
    </row>
    <row r="7" spans="1:23" x14ac:dyDescent="0.25">
      <c r="A7" s="37">
        <v>13</v>
      </c>
      <c r="B7" s="34" t="s">
        <v>30</v>
      </c>
      <c r="C7" s="37">
        <v>8</v>
      </c>
      <c r="D7" s="37">
        <v>5.5</v>
      </c>
      <c r="E7" s="37">
        <v>8</v>
      </c>
      <c r="F7" s="37">
        <v>8</v>
      </c>
      <c r="G7" s="37">
        <v>8</v>
      </c>
      <c r="H7" s="37" t="s">
        <v>26</v>
      </c>
      <c r="I7" s="37">
        <v>37.5</v>
      </c>
      <c r="J7" s="37">
        <v>2.75</v>
      </c>
      <c r="K7" s="49">
        <f>IF(I7&gt;$S$1,S$1,I7)</f>
        <v>37.5</v>
      </c>
      <c r="L7" s="35">
        <f t="shared" si="0"/>
        <v>0</v>
      </c>
      <c r="M7" s="37">
        <v>13</v>
      </c>
      <c r="N7" s="34" t="s">
        <v>30</v>
      </c>
      <c r="O7" s="36" t="s">
        <v>31</v>
      </c>
      <c r="Q7" s="52"/>
      <c r="R7" s="52"/>
      <c r="S7" s="50">
        <v>18.100000000000001</v>
      </c>
      <c r="T7" s="116">
        <f t="shared" si="1"/>
        <v>678.75</v>
      </c>
      <c r="U7" s="51">
        <f t="shared" si="2"/>
        <v>27.150000000000002</v>
      </c>
      <c r="V7" s="49">
        <f t="shared" ref="V7:V13" si="4">U7*L7</f>
        <v>0</v>
      </c>
      <c r="W7" s="55">
        <f t="shared" si="3"/>
        <v>678.75</v>
      </c>
    </row>
    <row r="8" spans="1:23" x14ac:dyDescent="0.25">
      <c r="A8" s="37">
        <v>21</v>
      </c>
      <c r="B8" s="34" t="s">
        <v>32</v>
      </c>
      <c r="C8" s="37">
        <v>10</v>
      </c>
      <c r="D8" s="37">
        <v>10</v>
      </c>
      <c r="E8" s="37">
        <v>8</v>
      </c>
      <c r="F8" s="37">
        <v>8</v>
      </c>
      <c r="G8" s="37">
        <v>10</v>
      </c>
      <c r="H8" s="37" t="s">
        <v>26</v>
      </c>
      <c r="I8" s="37">
        <v>46</v>
      </c>
      <c r="J8" s="37" t="s">
        <v>33</v>
      </c>
      <c r="K8" s="49">
        <f>IF(I8&gt;$S$1,S$1,I8)</f>
        <v>40</v>
      </c>
      <c r="L8" s="35">
        <f t="shared" si="0"/>
        <v>6</v>
      </c>
      <c r="M8" s="37">
        <v>21</v>
      </c>
      <c r="N8" s="34" t="s">
        <v>32</v>
      </c>
      <c r="O8" s="36" t="s">
        <v>34</v>
      </c>
      <c r="Q8" s="52"/>
      <c r="R8" s="52"/>
      <c r="S8" s="50">
        <v>17.899999999999999</v>
      </c>
      <c r="T8" s="116">
        <f t="shared" si="1"/>
        <v>716</v>
      </c>
      <c r="U8" s="51">
        <f t="shared" si="2"/>
        <v>26.849999999999998</v>
      </c>
      <c r="V8" s="49">
        <f t="shared" si="4"/>
        <v>161.1</v>
      </c>
      <c r="W8" s="55">
        <f t="shared" si="3"/>
        <v>877.1</v>
      </c>
    </row>
    <row r="9" spans="1:23" ht="16.5" thickBot="1" x14ac:dyDescent="0.3">
      <c r="A9" s="37">
        <v>22</v>
      </c>
      <c r="B9" s="34" t="s">
        <v>35</v>
      </c>
      <c r="C9" s="37">
        <v>8</v>
      </c>
      <c r="D9" s="37">
        <v>8</v>
      </c>
      <c r="E9" s="37">
        <v>8</v>
      </c>
      <c r="F9" s="37">
        <v>8</v>
      </c>
      <c r="G9" s="37">
        <v>8</v>
      </c>
      <c r="H9" s="37" t="s">
        <v>26</v>
      </c>
      <c r="I9" s="37">
        <v>40</v>
      </c>
      <c r="J9" s="37"/>
      <c r="K9" s="49">
        <f>IF(I9&gt;$S$1,S$1,I9)</f>
        <v>40</v>
      </c>
      <c r="L9" s="35">
        <f t="shared" si="0"/>
        <v>0</v>
      </c>
      <c r="M9" s="37">
        <v>22</v>
      </c>
      <c r="N9" s="34" t="s">
        <v>35</v>
      </c>
      <c r="O9" s="36" t="s">
        <v>36</v>
      </c>
      <c r="Q9" s="52"/>
      <c r="R9" s="52"/>
      <c r="S9" s="50">
        <v>19.75</v>
      </c>
      <c r="T9" s="116">
        <f t="shared" si="1"/>
        <v>790</v>
      </c>
      <c r="U9" s="51">
        <f t="shared" si="2"/>
        <v>29.625</v>
      </c>
      <c r="V9" s="49">
        <f t="shared" si="4"/>
        <v>0</v>
      </c>
      <c r="W9" s="55">
        <f t="shared" si="3"/>
        <v>790</v>
      </c>
    </row>
    <row r="10" spans="1:23" s="141" customFormat="1" x14ac:dyDescent="0.25">
      <c r="A10" s="37">
        <v>31</v>
      </c>
      <c r="B10" s="37" t="s">
        <v>37</v>
      </c>
      <c r="C10" s="37">
        <v>8</v>
      </c>
      <c r="D10" s="37">
        <v>8</v>
      </c>
      <c r="E10" s="37">
        <v>8</v>
      </c>
      <c r="F10" s="37">
        <v>8</v>
      </c>
      <c r="G10" s="37">
        <v>8</v>
      </c>
      <c r="H10" s="37">
        <v>1.25</v>
      </c>
      <c r="I10" s="37">
        <v>41.25</v>
      </c>
      <c r="J10" s="37"/>
      <c r="K10" s="37">
        <v>40</v>
      </c>
      <c r="L10" s="37">
        <f t="shared" si="0"/>
        <v>1.25</v>
      </c>
      <c r="M10" s="37">
        <v>31</v>
      </c>
      <c r="N10" s="37" t="s">
        <v>37</v>
      </c>
      <c r="O10" s="37" t="s">
        <v>38</v>
      </c>
      <c r="Q10" s="142"/>
      <c r="R10" s="143">
        <f>ROUND(515/$S$1,2)</f>
        <v>12.88</v>
      </c>
      <c r="S10" s="144">
        <f>R10</f>
        <v>12.88</v>
      </c>
      <c r="T10" s="117">
        <f t="shared" si="1"/>
        <v>515.20000000000005</v>
      </c>
      <c r="U10" s="145">
        <f t="shared" si="2"/>
        <v>19.32</v>
      </c>
      <c r="V10" s="140">
        <f>19.32*1.25</f>
        <v>24.15</v>
      </c>
      <c r="W10" s="146">
        <f>V10+T10</f>
        <v>539.35</v>
      </c>
    </row>
    <row r="11" spans="1:23" customFormat="1" x14ac:dyDescent="0.25">
      <c r="A11" s="37">
        <v>32</v>
      </c>
      <c r="B11" s="37" t="s">
        <v>39</v>
      </c>
      <c r="C11" s="37">
        <v>8</v>
      </c>
      <c r="D11" s="37">
        <v>8</v>
      </c>
      <c r="E11" s="37">
        <v>8</v>
      </c>
      <c r="F11" s="37">
        <v>8</v>
      </c>
      <c r="G11" s="37">
        <v>8</v>
      </c>
      <c r="H11" s="37" t="s">
        <v>26</v>
      </c>
      <c r="I11" s="37">
        <v>40</v>
      </c>
      <c r="J11" s="37"/>
      <c r="K11" s="37">
        <f>IF(I11&gt;$S$1,S$1,I11)</f>
        <v>40</v>
      </c>
      <c r="L11" s="37">
        <f t="shared" si="0"/>
        <v>0</v>
      </c>
      <c r="M11" s="37">
        <v>32</v>
      </c>
      <c r="N11" s="37" t="s">
        <v>39</v>
      </c>
      <c r="O11" s="37" t="s">
        <v>40</v>
      </c>
      <c r="Q11">
        <f>(2700*12)/52</f>
        <v>623.07692307692309</v>
      </c>
      <c r="R11">
        <f>ROUND(Q11/$S$1,2)</f>
        <v>15.58</v>
      </c>
      <c r="S11">
        <f t="shared" ref="S11:S14" si="5">R11</f>
        <v>15.58</v>
      </c>
      <c r="T11">
        <f t="shared" si="1"/>
        <v>623.20000000000005</v>
      </c>
      <c r="U11">
        <f t="shared" si="2"/>
        <v>23.37</v>
      </c>
      <c r="V11">
        <f t="shared" si="4"/>
        <v>0</v>
      </c>
      <c r="W11">
        <f t="shared" si="3"/>
        <v>623.20000000000005</v>
      </c>
    </row>
    <row r="12" spans="1:23" x14ac:dyDescent="0.25">
      <c r="A12" s="37">
        <v>33</v>
      </c>
      <c r="B12" s="34" t="s">
        <v>41</v>
      </c>
      <c r="C12" s="37">
        <v>8</v>
      </c>
      <c r="D12" s="37">
        <v>8</v>
      </c>
      <c r="E12" s="37">
        <v>8</v>
      </c>
      <c r="F12" s="37">
        <v>8</v>
      </c>
      <c r="G12" s="37">
        <v>8</v>
      </c>
      <c r="H12" s="37" t="s">
        <v>26</v>
      </c>
      <c r="I12" s="37">
        <v>40</v>
      </c>
      <c r="J12" s="37"/>
      <c r="K12" s="49">
        <f>IF(I12&gt;$S$1,S$1,I12)</f>
        <v>40</v>
      </c>
      <c r="L12" s="35">
        <f t="shared" si="0"/>
        <v>0</v>
      </c>
      <c r="M12" s="37">
        <v>33</v>
      </c>
      <c r="N12" s="34" t="s">
        <v>41</v>
      </c>
      <c r="O12" s="36" t="s">
        <v>42</v>
      </c>
      <c r="Q12" s="54">
        <f>(3350*12)/52</f>
        <v>773.07692307692309</v>
      </c>
      <c r="R12" s="53">
        <f>Q12/$S$1</f>
        <v>19.326923076923077</v>
      </c>
      <c r="S12" s="50">
        <f t="shared" si="5"/>
        <v>19.326923076923077</v>
      </c>
      <c r="T12" s="116">
        <f>19.33*40</f>
        <v>773.19999999999993</v>
      </c>
      <c r="U12" s="51">
        <f t="shared" si="2"/>
        <v>28.990384615384613</v>
      </c>
      <c r="V12" s="49">
        <f t="shared" si="4"/>
        <v>0</v>
      </c>
      <c r="W12" s="55">
        <f t="shared" si="3"/>
        <v>773.19999999999993</v>
      </c>
    </row>
    <row r="13" spans="1:23" x14ac:dyDescent="0.25">
      <c r="A13" s="37">
        <v>51</v>
      </c>
      <c r="B13" s="34" t="s">
        <v>43</v>
      </c>
      <c r="C13" s="37">
        <v>8</v>
      </c>
      <c r="D13" s="37">
        <v>8</v>
      </c>
      <c r="E13" s="37">
        <v>8</v>
      </c>
      <c r="F13" s="37">
        <v>8</v>
      </c>
      <c r="G13" s="37">
        <v>8</v>
      </c>
      <c r="H13" s="37">
        <v>4</v>
      </c>
      <c r="I13" s="37">
        <v>44</v>
      </c>
      <c r="J13" s="37"/>
      <c r="K13" s="49">
        <f>IF(I13&gt;$S$1,S$1,I13)</f>
        <v>40</v>
      </c>
      <c r="L13" s="35">
        <f t="shared" si="0"/>
        <v>4</v>
      </c>
      <c r="M13" s="37">
        <v>51</v>
      </c>
      <c r="N13" s="34" t="s">
        <v>43</v>
      </c>
      <c r="O13" s="36" t="s">
        <v>44</v>
      </c>
      <c r="Q13" s="54">
        <f>(2510*12)/52</f>
        <v>579.23076923076928</v>
      </c>
      <c r="R13" s="53">
        <f>Q13/$S$1</f>
        <v>14.480769230769232</v>
      </c>
      <c r="S13" s="50">
        <f t="shared" si="5"/>
        <v>14.480769230769232</v>
      </c>
      <c r="T13" s="116">
        <f>14.48*40</f>
        <v>579.20000000000005</v>
      </c>
      <c r="U13" s="51">
        <f t="shared" si="2"/>
        <v>21.721153846153847</v>
      </c>
      <c r="V13" s="49">
        <f t="shared" si="4"/>
        <v>86.884615384615387</v>
      </c>
      <c r="W13" s="55">
        <f t="shared" si="3"/>
        <v>666.0846153846154</v>
      </c>
    </row>
    <row r="14" spans="1:23" x14ac:dyDescent="0.25">
      <c r="A14" s="37">
        <v>99</v>
      </c>
      <c r="B14" s="34" t="s">
        <v>45</v>
      </c>
      <c r="C14" s="37">
        <v>8</v>
      </c>
      <c r="D14" s="37">
        <v>8</v>
      </c>
      <c r="E14" s="37">
        <v>8</v>
      </c>
      <c r="F14" s="37">
        <v>8</v>
      </c>
      <c r="G14" s="37">
        <v>8</v>
      </c>
      <c r="H14" s="37" t="s">
        <v>26</v>
      </c>
      <c r="I14" s="37">
        <v>40</v>
      </c>
      <c r="J14" s="37"/>
      <c r="K14" s="49">
        <f>IF(I14&gt;$S$1,S$1,I14)</f>
        <v>40</v>
      </c>
      <c r="L14" s="35" t="s">
        <v>46</v>
      </c>
      <c r="M14" s="37">
        <v>99</v>
      </c>
      <c r="N14" s="34" t="s">
        <v>45</v>
      </c>
      <c r="O14" s="36" t="s">
        <v>47</v>
      </c>
      <c r="P14">
        <f>52000/12</f>
        <v>4333.333333333333</v>
      </c>
      <c r="Q14" s="54">
        <f>52000/52</f>
        <v>1000</v>
      </c>
      <c r="R14" s="53">
        <f>Q14/$S$1</f>
        <v>25</v>
      </c>
      <c r="S14" s="50">
        <f t="shared" si="5"/>
        <v>25</v>
      </c>
      <c r="T14" s="116">
        <f t="shared" ref="T14" si="6">ROUND(K14*S14,2)</f>
        <v>1000</v>
      </c>
      <c r="U14" s="51"/>
      <c r="V14" s="49"/>
      <c r="W14" s="55">
        <f t="shared" si="3"/>
        <v>1000</v>
      </c>
    </row>
    <row r="21" spans="8:19" x14ac:dyDescent="0.25">
      <c r="S21" s="35" t="s">
        <v>48</v>
      </c>
    </row>
    <row r="22" spans="8:19" x14ac:dyDescent="0.25">
      <c r="S22" s="35" t="s">
        <v>49</v>
      </c>
    </row>
    <row r="23" spans="8:19" x14ac:dyDescent="0.25">
      <c r="H23" s="98"/>
      <c r="S23" s="35" t="s">
        <v>50</v>
      </c>
    </row>
    <row r="24" spans="8:19" x14ac:dyDescent="0.25">
      <c r="S24" s="35" t="s">
        <v>51</v>
      </c>
    </row>
    <row r="25" spans="8:19" x14ac:dyDescent="0.25">
      <c r="S25" s="35" t="s">
        <v>52</v>
      </c>
    </row>
  </sheetData>
  <mergeCells count="2">
    <mergeCell ref="A3:J3"/>
    <mergeCell ref="M3:O3"/>
  </mergeCells>
  <pageMargins left="0.7" right="0.7" top="0.75" bottom="0.75" header="0.3" footer="0.3"/>
  <pageSetup orientation="portrait" horizontalDpi="4294967293" verticalDpi="0" r:id="rId1"/>
  <ignoredErrors>
    <ignoredError sqref="T12 V10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zoomScaleNormal="100" workbookViewId="0">
      <selection activeCell="D4" sqref="D4"/>
    </sheetView>
  </sheetViews>
  <sheetFormatPr defaultColWidth="10.875" defaultRowHeight="12.75" x14ac:dyDescent="0.2"/>
  <cols>
    <col min="1" max="1" width="3.75" customWidth="1"/>
    <col min="2" max="2" width="5.75" customWidth="1"/>
    <col min="3" max="3" width="20.5" customWidth="1"/>
    <col min="4" max="4" width="9.625" customWidth="1"/>
    <col min="5" max="5" width="9.625" style="66" customWidth="1"/>
    <col min="6" max="6" width="9.625" customWidth="1"/>
    <col min="7" max="7" width="9.625" hidden="1" customWidth="1"/>
    <col min="8" max="10" width="9.625" customWidth="1"/>
    <col min="11" max="11" width="9.625" hidden="1" customWidth="1"/>
    <col min="12" max="12" width="9.625" customWidth="1"/>
    <col min="13" max="13" width="9.625" hidden="1" customWidth="1"/>
    <col min="14" max="15" width="9.625" customWidth="1"/>
  </cols>
  <sheetData>
    <row r="1" spans="1:18" ht="19.5" thickBot="1" x14ac:dyDescent="0.35">
      <c r="A1" s="41" t="s">
        <v>53</v>
      </c>
    </row>
    <row r="2" spans="1:18" x14ac:dyDescent="0.2">
      <c r="A2" s="3"/>
      <c r="B2" s="304" t="s">
        <v>54</v>
      </c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5"/>
    </row>
    <row r="3" spans="1:18" x14ac:dyDescent="0.2">
      <c r="A3" s="4"/>
      <c r="B3" s="306" t="s">
        <v>55</v>
      </c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7"/>
    </row>
    <row r="4" spans="1:18" ht="13.5" thickBot="1" x14ac:dyDescent="0.25">
      <c r="A4" s="5"/>
      <c r="B4" s="6"/>
      <c r="C4" s="7" t="s">
        <v>56</v>
      </c>
      <c r="D4" s="65">
        <v>40915</v>
      </c>
      <c r="E4" s="95"/>
      <c r="F4" s="6"/>
      <c r="G4" s="6"/>
      <c r="H4" s="6"/>
      <c r="I4" s="6"/>
      <c r="J4" s="6"/>
      <c r="K4" s="6"/>
      <c r="L4" s="6"/>
      <c r="M4" s="6"/>
      <c r="N4" s="6"/>
      <c r="O4" s="9"/>
    </row>
    <row r="5" spans="1:18" ht="13.5" thickBot="1" x14ac:dyDescent="0.25">
      <c r="A5" s="11"/>
      <c r="B5" s="73"/>
      <c r="C5" s="72"/>
      <c r="D5" s="12"/>
      <c r="E5" s="67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1:18" ht="14.25" customHeight="1" thickTop="1" thickBot="1" x14ac:dyDescent="0.25">
      <c r="A6" s="14"/>
      <c r="B6" s="308" t="s">
        <v>57</v>
      </c>
      <c r="C6" s="68"/>
      <c r="D6" s="311" t="s">
        <v>58</v>
      </c>
      <c r="E6" s="312"/>
      <c r="F6" s="313"/>
      <c r="G6" s="101"/>
      <c r="H6" s="314" t="s">
        <v>59</v>
      </c>
      <c r="I6" s="312"/>
      <c r="J6" s="315"/>
      <c r="K6" s="107"/>
      <c r="L6" s="74"/>
      <c r="M6" s="99"/>
      <c r="N6" s="319" t="s">
        <v>60</v>
      </c>
      <c r="O6" s="320"/>
    </row>
    <row r="7" spans="1:18" ht="25.5" customHeight="1" x14ac:dyDescent="0.2">
      <c r="A7" s="14"/>
      <c r="B7" s="309"/>
      <c r="C7" s="69" t="s">
        <v>61</v>
      </c>
      <c r="D7" s="316" t="s">
        <v>62</v>
      </c>
      <c r="E7" s="318" t="s">
        <v>63</v>
      </c>
      <c r="F7" s="321" t="s">
        <v>64</v>
      </c>
      <c r="G7" s="102"/>
      <c r="H7" s="316" t="s">
        <v>62</v>
      </c>
      <c r="I7" s="318" t="s">
        <v>63</v>
      </c>
      <c r="J7" s="321" t="s">
        <v>64</v>
      </c>
      <c r="K7" s="99"/>
      <c r="L7" s="70" t="s">
        <v>24</v>
      </c>
      <c r="M7" s="108"/>
      <c r="N7" s="323" t="s">
        <v>65</v>
      </c>
      <c r="O7" s="325" t="s">
        <v>66</v>
      </c>
    </row>
    <row r="8" spans="1:18" ht="23.25" customHeight="1" thickBot="1" x14ac:dyDescent="0.25">
      <c r="A8" s="14"/>
      <c r="B8" s="310"/>
      <c r="C8" s="96"/>
      <c r="D8" s="317"/>
      <c r="E8" s="310"/>
      <c r="F8" s="322"/>
      <c r="G8" s="103"/>
      <c r="H8" s="317"/>
      <c r="I8" s="310"/>
      <c r="J8" s="322"/>
      <c r="K8" s="100"/>
      <c r="L8" s="71"/>
      <c r="M8" s="109"/>
      <c r="N8" s="324"/>
      <c r="O8" s="303"/>
    </row>
    <row r="9" spans="1:18" ht="14.25" thickTop="1" thickBot="1" x14ac:dyDescent="0.25">
      <c r="A9" s="16">
        <v>1</v>
      </c>
      <c r="B9" s="16">
        <v>11</v>
      </c>
      <c r="C9" s="18" t="s">
        <v>67</v>
      </c>
      <c r="D9" s="119">
        <v>40</v>
      </c>
      <c r="E9" s="123">
        <v>17.5</v>
      </c>
      <c r="F9" s="124">
        <f>D9*E9</f>
        <v>700</v>
      </c>
      <c r="G9" s="124" t="str">
        <f>IF(F9='Wage &amp; Hours Worked'!T5,"yes","no")</f>
        <v>yes</v>
      </c>
      <c r="H9" s="120">
        <v>0</v>
      </c>
      <c r="I9" s="125">
        <f>E9*1.5</f>
        <v>26.25</v>
      </c>
      <c r="J9" s="124">
        <f>H9*I9</f>
        <v>0</v>
      </c>
      <c r="K9" s="126" t="str">
        <f>IF(J9='Wage &amp; Hours Worked'!V5,"yes","no")</f>
        <v>yes</v>
      </c>
      <c r="L9" s="126">
        <f>F9+J9</f>
        <v>700</v>
      </c>
      <c r="M9" s="127" t="str">
        <f>IF(L9='Wage &amp; Hours Worked'!W5,"yes","no")</f>
        <v>yes</v>
      </c>
      <c r="N9" s="128"/>
      <c r="O9" s="128"/>
    </row>
    <row r="10" spans="1:18" ht="13.5" thickBot="1" x14ac:dyDescent="0.25">
      <c r="A10" s="20">
        <v>2</v>
      </c>
      <c r="B10" s="19">
        <v>12</v>
      </c>
      <c r="C10" s="6" t="s">
        <v>68</v>
      </c>
      <c r="D10" s="119">
        <v>40</v>
      </c>
      <c r="E10" s="123">
        <v>17.25</v>
      </c>
      <c r="F10" s="129">
        <f t="shared" ref="F10:F18" si="0">D10*E10</f>
        <v>690</v>
      </c>
      <c r="G10" s="124" t="str">
        <f>IF(F10='Wage &amp; Hours Worked'!T6,"yes","no")</f>
        <v>yes</v>
      </c>
      <c r="H10" s="120">
        <v>8</v>
      </c>
      <c r="I10" s="118">
        <f t="shared" ref="I10:I17" si="1">E10*1.5</f>
        <v>25.875</v>
      </c>
      <c r="J10" s="129">
        <f>25.88*8</f>
        <v>207.04</v>
      </c>
      <c r="K10" s="126" t="str">
        <f>IF(J10='Wage &amp; Hours Worked'!V6,"yes","no")</f>
        <v>yes</v>
      </c>
      <c r="L10" s="130">
        <f t="shared" ref="L10:L18" si="2">F10+J10</f>
        <v>897.04</v>
      </c>
      <c r="M10" s="127" t="str">
        <f>IF(L10='Wage &amp; Hours Worked'!W6,"yes","no")</f>
        <v>yes</v>
      </c>
      <c r="N10" s="128"/>
      <c r="O10" s="128"/>
    </row>
    <row r="11" spans="1:18" ht="13.5" thickBot="1" x14ac:dyDescent="0.25">
      <c r="A11" s="20">
        <v>3</v>
      </c>
      <c r="B11" s="19">
        <v>13</v>
      </c>
      <c r="C11" s="6" t="s">
        <v>69</v>
      </c>
      <c r="D11" s="119">
        <v>37.5</v>
      </c>
      <c r="E11" s="123">
        <v>18.100000000000001</v>
      </c>
      <c r="F11" s="129">
        <f t="shared" si="0"/>
        <v>678.75</v>
      </c>
      <c r="G11" s="124" t="str">
        <f>IF(F11='Wage &amp; Hours Worked'!T7,"yes","no")</f>
        <v>yes</v>
      </c>
      <c r="H11" s="120">
        <v>0</v>
      </c>
      <c r="I11" s="118">
        <f t="shared" si="1"/>
        <v>27.150000000000002</v>
      </c>
      <c r="J11" s="129">
        <f t="shared" ref="J11:J17" si="3">H11*I11</f>
        <v>0</v>
      </c>
      <c r="K11" s="126" t="str">
        <f>IF(J11='Wage &amp; Hours Worked'!V7,"yes","no")</f>
        <v>yes</v>
      </c>
      <c r="L11" s="130">
        <f t="shared" si="2"/>
        <v>678.75</v>
      </c>
      <c r="M11" s="127" t="str">
        <f>IF(L11='Wage &amp; Hours Worked'!W7,"yes","no")</f>
        <v>yes</v>
      </c>
      <c r="N11" s="128"/>
      <c r="O11" s="128"/>
    </row>
    <row r="12" spans="1:18" ht="13.5" thickBot="1" x14ac:dyDescent="0.25">
      <c r="A12" s="20">
        <v>4</v>
      </c>
      <c r="B12" s="19">
        <v>21</v>
      </c>
      <c r="C12" s="6" t="s">
        <v>70</v>
      </c>
      <c r="D12" s="119">
        <v>40</v>
      </c>
      <c r="E12" s="123">
        <v>17.899999999999999</v>
      </c>
      <c r="F12" s="129">
        <f t="shared" si="0"/>
        <v>716</v>
      </c>
      <c r="G12" s="124" t="str">
        <f>IF(F12='Wage &amp; Hours Worked'!T8,"yes","no")</f>
        <v>yes</v>
      </c>
      <c r="H12" s="120">
        <v>6</v>
      </c>
      <c r="I12" s="118">
        <f t="shared" si="1"/>
        <v>26.849999999999998</v>
      </c>
      <c r="J12" s="129">
        <f t="shared" si="3"/>
        <v>161.1</v>
      </c>
      <c r="K12" s="126" t="str">
        <f>IF(J12='Wage &amp; Hours Worked'!V8,"yes","no")</f>
        <v>yes</v>
      </c>
      <c r="L12" s="130">
        <f t="shared" si="2"/>
        <v>877.1</v>
      </c>
      <c r="M12" s="127" t="str">
        <f>IF(L12='Wage &amp; Hours Worked'!W8,"yes","no")</f>
        <v>yes</v>
      </c>
      <c r="N12" s="128"/>
      <c r="O12" s="128"/>
    </row>
    <row r="13" spans="1:18" ht="13.5" thickBot="1" x14ac:dyDescent="0.25">
      <c r="A13" s="20">
        <v>5</v>
      </c>
      <c r="B13" s="19">
        <v>22</v>
      </c>
      <c r="C13" s="6" t="s">
        <v>71</v>
      </c>
      <c r="D13" s="119">
        <v>40</v>
      </c>
      <c r="E13" s="123">
        <v>19.75</v>
      </c>
      <c r="F13" s="129">
        <f t="shared" si="0"/>
        <v>790</v>
      </c>
      <c r="G13" s="124" t="str">
        <f>IF(F13='Wage &amp; Hours Worked'!T9,"yes","no")</f>
        <v>yes</v>
      </c>
      <c r="H13" s="120">
        <v>0</v>
      </c>
      <c r="I13" s="118">
        <f t="shared" si="1"/>
        <v>29.625</v>
      </c>
      <c r="J13" s="129">
        <f t="shared" si="3"/>
        <v>0</v>
      </c>
      <c r="K13" s="126" t="str">
        <f>IF(J13='Wage &amp; Hours Worked'!V9,"yes","no")</f>
        <v>yes</v>
      </c>
      <c r="L13" s="130">
        <f t="shared" si="2"/>
        <v>790</v>
      </c>
      <c r="M13" s="127" t="str">
        <f>IF(L13='Wage &amp; Hours Worked'!W9,"yes","no")</f>
        <v>yes</v>
      </c>
      <c r="N13" s="128"/>
      <c r="O13" s="128"/>
    </row>
    <row r="14" spans="1:18" ht="13.5" thickBot="1" x14ac:dyDescent="0.25">
      <c r="A14" s="6">
        <v>6</v>
      </c>
      <c r="B14" s="6">
        <v>31</v>
      </c>
      <c r="C14" s="6" t="s">
        <v>72</v>
      </c>
      <c r="D14" s="119">
        <v>40</v>
      </c>
      <c r="E14" s="119">
        <v>12.875</v>
      </c>
      <c r="F14" s="119">
        <v>515.20000000000005</v>
      </c>
      <c r="G14" s="119" t="str">
        <f>IF(F14='Wage &amp; Hours Worked'!T10,"yes","no")</f>
        <v>yes</v>
      </c>
      <c r="H14" s="119">
        <v>1.25</v>
      </c>
      <c r="I14" s="131">
        <f>12.88*1.5</f>
        <v>19.32</v>
      </c>
      <c r="J14" s="119">
        <f t="shared" si="3"/>
        <v>24.15</v>
      </c>
      <c r="K14" s="119" t="str">
        <f>IF(J14='Wage &amp; Hours Worked'!V10,"yes","no")</f>
        <v>yes</v>
      </c>
      <c r="L14" s="119">
        <f t="shared" si="2"/>
        <v>539.35</v>
      </c>
      <c r="M14" s="119" t="str">
        <f>IF(L14='Wage &amp; Hours Worked'!W10,"yes","no")</f>
        <v>yes</v>
      </c>
      <c r="N14" s="119"/>
      <c r="O14" s="119"/>
    </row>
    <row r="15" spans="1:18" ht="13.5" thickBot="1" x14ac:dyDescent="0.25">
      <c r="A15" s="20">
        <v>7</v>
      </c>
      <c r="B15" s="19">
        <v>32</v>
      </c>
      <c r="C15" s="6" t="s">
        <v>73</v>
      </c>
      <c r="D15" s="119">
        <v>40</v>
      </c>
      <c r="E15" s="132">
        <v>15.576923076923077</v>
      </c>
      <c r="F15" s="129">
        <v>623.20000000000005</v>
      </c>
      <c r="G15" s="124" t="str">
        <f>IF(F15='Wage &amp; Hours Worked'!T11,"yes","no")</f>
        <v>yes</v>
      </c>
      <c r="H15" s="121">
        <v>0</v>
      </c>
      <c r="I15" s="118">
        <f t="shared" si="1"/>
        <v>23.365384615384613</v>
      </c>
      <c r="J15" s="129">
        <f t="shared" si="3"/>
        <v>0</v>
      </c>
      <c r="K15" s="126" t="str">
        <f>IF(J15='Wage &amp; Hours Worked'!V11,"yes","no")</f>
        <v>yes</v>
      </c>
      <c r="L15" s="130">
        <f t="shared" si="2"/>
        <v>623.20000000000005</v>
      </c>
      <c r="M15" s="127" t="str">
        <f>IF(L15='Wage &amp; Hours Worked'!W11,"yes","no")</f>
        <v>yes</v>
      </c>
      <c r="N15" s="128"/>
      <c r="O15" s="128"/>
      <c r="R15" s="56"/>
    </row>
    <row r="16" spans="1:18" ht="13.5" thickBot="1" x14ac:dyDescent="0.25">
      <c r="A16" s="20">
        <v>8</v>
      </c>
      <c r="B16" s="14">
        <v>33</v>
      </c>
      <c r="C16" s="15" t="s">
        <v>74</v>
      </c>
      <c r="D16" s="119">
        <v>40</v>
      </c>
      <c r="E16" s="132">
        <v>19.326923076923077</v>
      </c>
      <c r="F16" s="129">
        <v>773.2</v>
      </c>
      <c r="G16" s="124" t="str">
        <f>IF(F16='Wage &amp; Hours Worked'!T12,"yes","no")</f>
        <v>yes</v>
      </c>
      <c r="H16" s="121">
        <v>0</v>
      </c>
      <c r="I16" s="118">
        <f t="shared" si="1"/>
        <v>28.990384615384613</v>
      </c>
      <c r="J16" s="129">
        <f t="shared" si="3"/>
        <v>0</v>
      </c>
      <c r="K16" s="126" t="str">
        <f>IF(J16='Wage &amp; Hours Worked'!V12,"yes","no")</f>
        <v>yes</v>
      </c>
      <c r="L16" s="130">
        <f t="shared" si="2"/>
        <v>773.2</v>
      </c>
      <c r="M16" s="127" t="str">
        <f>IF(L16='Wage &amp; Hours Worked'!W12,"yes","no")</f>
        <v>yes</v>
      </c>
      <c r="N16" s="128"/>
      <c r="O16" s="128"/>
    </row>
    <row r="17" spans="1:17" ht="13.5" thickBot="1" x14ac:dyDescent="0.25">
      <c r="A17" s="20">
        <v>9</v>
      </c>
      <c r="B17" s="20">
        <v>51</v>
      </c>
      <c r="C17" s="21" t="s">
        <v>75</v>
      </c>
      <c r="D17" s="119">
        <v>40</v>
      </c>
      <c r="E17" s="132">
        <v>14.480769230769232</v>
      </c>
      <c r="F17" s="129">
        <v>579.20000000000005</v>
      </c>
      <c r="G17" s="124" t="str">
        <f>IF(F17='Wage &amp; Hours Worked'!T13,"yes","no")</f>
        <v>yes</v>
      </c>
      <c r="H17" s="121">
        <v>4</v>
      </c>
      <c r="I17" s="118">
        <f t="shared" si="1"/>
        <v>21.721153846153847</v>
      </c>
      <c r="J17" s="129">
        <f t="shared" si="3"/>
        <v>86.884615384615387</v>
      </c>
      <c r="K17" s="126" t="str">
        <f>IF(J17='Wage &amp; Hours Worked'!V13,"yes","no")</f>
        <v>yes</v>
      </c>
      <c r="L17" s="130">
        <f t="shared" si="2"/>
        <v>666.0846153846154</v>
      </c>
      <c r="M17" s="127" t="str">
        <f>IF(L17='Wage &amp; Hours Worked'!W13,"yes","no")</f>
        <v>yes</v>
      </c>
      <c r="N17" s="128"/>
      <c r="O17" s="128"/>
    </row>
    <row r="18" spans="1:17" ht="13.5" thickBot="1" x14ac:dyDescent="0.25">
      <c r="A18" s="20">
        <v>10</v>
      </c>
      <c r="B18" s="14">
        <v>99</v>
      </c>
      <c r="C18" s="15" t="s">
        <v>76</v>
      </c>
      <c r="D18" s="119">
        <v>40</v>
      </c>
      <c r="E18" s="132">
        <v>25</v>
      </c>
      <c r="F18" s="129">
        <f t="shared" si="0"/>
        <v>1000</v>
      </c>
      <c r="G18" s="124" t="str">
        <f>IF(F18='Wage &amp; Hours Worked'!T14,"yes","no")</f>
        <v>yes</v>
      </c>
      <c r="H18" s="122">
        <v>0</v>
      </c>
      <c r="I18" s="118" t="s">
        <v>77</v>
      </c>
      <c r="J18" s="129"/>
      <c r="K18" s="126" t="str">
        <f>IF(J18='Wage &amp; Hours Worked'!V14,"yes","no")</f>
        <v>yes</v>
      </c>
      <c r="L18" s="130">
        <f t="shared" si="2"/>
        <v>1000</v>
      </c>
      <c r="M18" s="133"/>
      <c r="N18" s="134"/>
      <c r="O18" s="134"/>
    </row>
    <row r="19" spans="1:17" ht="13.5" thickBot="1" x14ac:dyDescent="0.25">
      <c r="A19" s="19">
        <v>11</v>
      </c>
      <c r="B19" s="299" t="s">
        <v>78</v>
      </c>
      <c r="C19" s="300"/>
      <c r="D19" s="300"/>
      <c r="E19" s="330"/>
      <c r="F19" s="75">
        <f>SUM(F9:F18)</f>
        <v>7065.5499999999993</v>
      </c>
      <c r="G19" s="105"/>
      <c r="H19" s="76"/>
      <c r="I19" s="33"/>
      <c r="J19" s="77">
        <f>SUM(J9:J18)</f>
        <v>479.17461538461532</v>
      </c>
      <c r="K19" s="77"/>
      <c r="L19" s="75">
        <f>SUM(L9:L18)</f>
        <v>7544.7246153846145</v>
      </c>
      <c r="M19" s="110"/>
      <c r="N19" s="79"/>
      <c r="O19" s="78"/>
    </row>
    <row r="20" spans="1:17" x14ac:dyDescent="0.2">
      <c r="N20" s="57"/>
      <c r="O20" s="58"/>
    </row>
    <row r="22" spans="1:17" ht="18" x14ac:dyDescent="0.25">
      <c r="A22" s="22"/>
    </row>
    <row r="23" spans="1:17" x14ac:dyDescent="0.2">
      <c r="A23" s="15"/>
      <c r="B23" s="306" t="s">
        <v>54</v>
      </c>
      <c r="C23" s="306"/>
      <c r="D23" s="306"/>
      <c r="E23" s="306"/>
      <c r="F23" s="306"/>
      <c r="G23" s="306"/>
      <c r="H23" s="306"/>
      <c r="I23" s="306"/>
      <c r="J23" s="306"/>
      <c r="K23" s="306"/>
      <c r="L23" s="306"/>
      <c r="M23" s="306"/>
      <c r="N23" s="306"/>
      <c r="O23" s="306"/>
      <c r="P23" s="306"/>
      <c r="Q23" s="306"/>
    </row>
    <row r="24" spans="1:17" ht="14.25" customHeight="1" x14ac:dyDescent="0.2">
      <c r="A24" s="15"/>
      <c r="B24" s="306" t="s">
        <v>55</v>
      </c>
      <c r="C24" s="306"/>
      <c r="D24" s="306"/>
      <c r="E24" s="306"/>
      <c r="F24" s="306"/>
      <c r="G24" s="306"/>
      <c r="H24" s="306"/>
      <c r="I24" s="306"/>
      <c r="J24" s="306"/>
      <c r="K24" s="306"/>
      <c r="L24" s="306"/>
      <c r="M24" s="306"/>
      <c r="N24" s="306"/>
      <c r="O24" s="306"/>
      <c r="P24" s="306"/>
      <c r="Q24" s="306"/>
    </row>
    <row r="25" spans="1:17" ht="13.5" thickBot="1" x14ac:dyDescent="0.25">
      <c r="A25" s="6"/>
      <c r="B25" s="6"/>
      <c r="C25" s="7" t="s">
        <v>56</v>
      </c>
      <c r="D25" s="8">
        <v>20</v>
      </c>
      <c r="E25" s="95"/>
      <c r="F25" s="6"/>
      <c r="G25" s="6"/>
      <c r="H25" s="6"/>
      <c r="I25" s="6"/>
      <c r="J25" s="6"/>
      <c r="K25" s="6"/>
      <c r="L25" s="6"/>
      <c r="M25" s="6"/>
      <c r="N25" s="6"/>
      <c r="O25" s="6"/>
      <c r="P25" s="10"/>
      <c r="Q25" s="10"/>
    </row>
    <row r="26" spans="1:17" ht="14.25" customHeight="1" thickBot="1" x14ac:dyDescent="0.25">
      <c r="A26" s="23"/>
      <c r="B26" s="12"/>
      <c r="C26" s="13"/>
      <c r="D26" s="12"/>
      <c r="E26" s="67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0"/>
      <c r="Q26" s="10"/>
    </row>
    <row r="27" spans="1:17" ht="14.25" customHeight="1" thickTop="1" thickBot="1" x14ac:dyDescent="0.25">
      <c r="A27" s="24"/>
      <c r="B27" s="308" t="s">
        <v>57</v>
      </c>
      <c r="C27" s="301" t="s">
        <v>61</v>
      </c>
      <c r="D27" s="311" t="s">
        <v>58</v>
      </c>
      <c r="E27" s="312"/>
      <c r="F27" s="313"/>
      <c r="G27" s="101"/>
      <c r="H27" s="314" t="s">
        <v>59</v>
      </c>
      <c r="I27" s="312"/>
      <c r="J27" s="315"/>
      <c r="K27" s="26"/>
      <c r="L27" s="25"/>
      <c r="M27" s="111"/>
      <c r="N27" s="311" t="s">
        <v>60</v>
      </c>
      <c r="O27" s="312"/>
      <c r="P27" s="10"/>
      <c r="Q27" s="10"/>
    </row>
    <row r="28" spans="1:17" ht="25.5" x14ac:dyDescent="0.2">
      <c r="A28" s="24"/>
      <c r="B28" s="309"/>
      <c r="C28" s="302"/>
      <c r="D28" s="326" t="s">
        <v>62</v>
      </c>
      <c r="E28" s="328" t="s">
        <v>63</v>
      </c>
      <c r="F28" s="25" t="s">
        <v>64</v>
      </c>
      <c r="G28" s="25"/>
      <c r="H28" s="326" t="s">
        <v>62</v>
      </c>
      <c r="I28" s="328" t="s">
        <v>63</v>
      </c>
      <c r="J28" s="25" t="s">
        <v>64</v>
      </c>
      <c r="K28" s="25"/>
      <c r="L28" s="97" t="s">
        <v>24</v>
      </c>
      <c r="M28" s="112"/>
      <c r="N28" s="323" t="s">
        <v>65</v>
      </c>
      <c r="O28" s="325" t="s">
        <v>66</v>
      </c>
      <c r="P28" s="10"/>
      <c r="Q28" s="10"/>
    </row>
    <row r="29" spans="1:17" ht="23.25" customHeight="1" thickBot="1" x14ac:dyDescent="0.25">
      <c r="A29" s="24"/>
      <c r="B29" s="310"/>
      <c r="C29" s="303"/>
      <c r="D29" s="327"/>
      <c r="E29" s="329"/>
      <c r="F29" s="33"/>
      <c r="G29" s="33"/>
      <c r="H29" s="327"/>
      <c r="I29" s="329"/>
      <c r="J29" s="33"/>
      <c r="K29" s="33"/>
      <c r="L29" s="93"/>
      <c r="M29" s="113"/>
      <c r="N29" s="324"/>
      <c r="O29" s="303"/>
      <c r="P29" s="10"/>
      <c r="Q29" s="10"/>
    </row>
    <row r="30" spans="1:17" ht="14.25" customHeight="1" thickTop="1" thickBot="1" x14ac:dyDescent="0.25">
      <c r="A30" s="80">
        <v>1</v>
      </c>
      <c r="B30" s="81">
        <v>11</v>
      </c>
      <c r="C30" s="82" t="s">
        <v>67</v>
      </c>
      <c r="D30" s="135">
        <f t="shared" ref="D30:L39" si="4">D9</f>
        <v>40</v>
      </c>
      <c r="E30" s="136">
        <f t="shared" si="4"/>
        <v>17.5</v>
      </c>
      <c r="F30" s="63">
        <f t="shared" si="4"/>
        <v>700</v>
      </c>
      <c r="G30" s="63"/>
      <c r="H30" s="136">
        <f t="shared" si="4"/>
        <v>0</v>
      </c>
      <c r="I30" s="90">
        <f t="shared" si="4"/>
        <v>26.25</v>
      </c>
      <c r="J30" s="91">
        <f t="shared" si="4"/>
        <v>0</v>
      </c>
      <c r="K30" s="91"/>
      <c r="L30" s="92">
        <f t="shared" si="4"/>
        <v>700</v>
      </c>
      <c r="M30" s="90"/>
      <c r="N30" s="94">
        <f>L30*6.2%</f>
        <v>43.4</v>
      </c>
      <c r="O30" s="94">
        <f>L30*1.45%</f>
        <v>10.149999999999999</v>
      </c>
      <c r="P30" s="10"/>
      <c r="Q30" s="10"/>
    </row>
    <row r="31" spans="1:17" ht="13.5" thickBot="1" x14ac:dyDescent="0.25">
      <c r="A31" s="29">
        <v>2</v>
      </c>
      <c r="B31" s="30">
        <v>12</v>
      </c>
      <c r="C31" s="21" t="s">
        <v>68</v>
      </c>
      <c r="D31" s="137">
        <f t="shared" si="4"/>
        <v>40</v>
      </c>
      <c r="E31" s="138">
        <f t="shared" si="4"/>
        <v>17.25</v>
      </c>
      <c r="F31" s="84">
        <f t="shared" si="4"/>
        <v>690</v>
      </c>
      <c r="G31" s="84"/>
      <c r="H31" s="138">
        <f t="shared" si="4"/>
        <v>8</v>
      </c>
      <c r="I31" s="85">
        <f t="shared" si="4"/>
        <v>25.875</v>
      </c>
      <c r="J31" s="60">
        <f t="shared" si="4"/>
        <v>207.04</v>
      </c>
      <c r="K31" s="60"/>
      <c r="L31" s="86">
        <f t="shared" si="4"/>
        <v>897.04</v>
      </c>
      <c r="M31" s="85"/>
      <c r="N31" s="64">
        <f t="shared" ref="N31:N38" si="5">L31*6.2%</f>
        <v>55.616479999999996</v>
      </c>
      <c r="O31" s="64">
        <f t="shared" ref="O31:O39" si="6">L31*1.45%</f>
        <v>13.007079999999998</v>
      </c>
      <c r="P31" s="10"/>
      <c r="Q31" s="10"/>
    </row>
    <row r="32" spans="1:17" ht="14.25" customHeight="1" thickBot="1" x14ac:dyDescent="0.25">
      <c r="A32" s="29">
        <v>3</v>
      </c>
      <c r="B32" s="30">
        <v>13</v>
      </c>
      <c r="C32" s="21" t="s">
        <v>69</v>
      </c>
      <c r="D32" s="137">
        <f t="shared" si="4"/>
        <v>37.5</v>
      </c>
      <c r="E32" s="138">
        <f t="shared" si="4"/>
        <v>18.100000000000001</v>
      </c>
      <c r="F32" s="84">
        <f t="shared" si="4"/>
        <v>678.75</v>
      </c>
      <c r="G32" s="84"/>
      <c r="H32" s="138">
        <f t="shared" si="4"/>
        <v>0</v>
      </c>
      <c r="I32" s="85">
        <f t="shared" si="4"/>
        <v>27.150000000000002</v>
      </c>
      <c r="J32" s="60">
        <f t="shared" si="4"/>
        <v>0</v>
      </c>
      <c r="K32" s="60"/>
      <c r="L32" s="86">
        <f t="shared" si="4"/>
        <v>678.75</v>
      </c>
      <c r="M32" s="85"/>
      <c r="N32" s="64">
        <f t="shared" si="5"/>
        <v>42.082500000000003</v>
      </c>
      <c r="O32" s="64">
        <f t="shared" si="6"/>
        <v>9.8418749999999999</v>
      </c>
      <c r="P32" s="10"/>
      <c r="Q32" s="10"/>
    </row>
    <row r="33" spans="1:17" ht="13.5" thickBot="1" x14ac:dyDescent="0.25">
      <c r="A33" s="29">
        <v>4</v>
      </c>
      <c r="B33" s="30">
        <v>21</v>
      </c>
      <c r="C33" s="21" t="s">
        <v>70</v>
      </c>
      <c r="D33" s="137">
        <f t="shared" si="4"/>
        <v>40</v>
      </c>
      <c r="E33" s="138">
        <f t="shared" si="4"/>
        <v>17.899999999999999</v>
      </c>
      <c r="F33" s="84">
        <f t="shared" si="4"/>
        <v>716</v>
      </c>
      <c r="G33" s="84"/>
      <c r="H33" s="138">
        <f t="shared" si="4"/>
        <v>6</v>
      </c>
      <c r="I33" s="85">
        <f t="shared" si="4"/>
        <v>26.849999999999998</v>
      </c>
      <c r="J33" s="60">
        <f t="shared" si="4"/>
        <v>161.1</v>
      </c>
      <c r="K33" s="60"/>
      <c r="L33" s="86">
        <f t="shared" si="4"/>
        <v>877.1</v>
      </c>
      <c r="M33" s="85"/>
      <c r="N33" s="64">
        <f t="shared" si="5"/>
        <v>54.380200000000002</v>
      </c>
      <c r="O33" s="64">
        <f t="shared" si="6"/>
        <v>12.71795</v>
      </c>
      <c r="P33" s="10"/>
      <c r="Q33" s="10"/>
    </row>
    <row r="34" spans="1:17" ht="13.5" thickBot="1" x14ac:dyDescent="0.25">
      <c r="A34" s="29">
        <v>5</v>
      </c>
      <c r="B34" s="30">
        <v>22</v>
      </c>
      <c r="C34" s="21" t="s">
        <v>71</v>
      </c>
      <c r="D34" s="137">
        <f t="shared" si="4"/>
        <v>40</v>
      </c>
      <c r="E34" s="138">
        <f t="shared" si="4"/>
        <v>19.75</v>
      </c>
      <c r="F34" s="84">
        <f t="shared" si="4"/>
        <v>790</v>
      </c>
      <c r="G34" s="84"/>
      <c r="H34" s="138">
        <f t="shared" si="4"/>
        <v>0</v>
      </c>
      <c r="I34" s="85">
        <f t="shared" si="4"/>
        <v>29.625</v>
      </c>
      <c r="J34" s="60">
        <f t="shared" si="4"/>
        <v>0</v>
      </c>
      <c r="K34" s="60"/>
      <c r="L34" s="86">
        <f t="shared" si="4"/>
        <v>790</v>
      </c>
      <c r="M34" s="85"/>
      <c r="N34" s="64">
        <f t="shared" si="5"/>
        <v>48.98</v>
      </c>
      <c r="O34" s="64">
        <f t="shared" si="6"/>
        <v>11.455</v>
      </c>
      <c r="P34" s="10"/>
      <c r="Q34" s="10"/>
    </row>
    <row r="35" spans="1:17" ht="13.5" thickBot="1" x14ac:dyDescent="0.25">
      <c r="A35" s="29">
        <v>6</v>
      </c>
      <c r="B35" s="30">
        <v>31</v>
      </c>
      <c r="C35" s="21" t="s">
        <v>72</v>
      </c>
      <c r="D35" s="137">
        <f t="shared" si="4"/>
        <v>40</v>
      </c>
      <c r="E35" s="138">
        <f t="shared" si="4"/>
        <v>12.875</v>
      </c>
      <c r="F35" s="84">
        <f t="shared" si="4"/>
        <v>515.20000000000005</v>
      </c>
      <c r="G35" s="84"/>
      <c r="H35" s="138">
        <f t="shared" si="4"/>
        <v>1.25</v>
      </c>
      <c r="I35" s="85">
        <f t="shared" si="4"/>
        <v>19.32</v>
      </c>
      <c r="J35" s="60">
        <f t="shared" si="4"/>
        <v>24.15</v>
      </c>
      <c r="K35" s="60"/>
      <c r="L35" s="86">
        <f t="shared" si="4"/>
        <v>539.35</v>
      </c>
      <c r="M35" s="85"/>
      <c r="N35" s="64">
        <f t="shared" si="5"/>
        <v>33.439700000000002</v>
      </c>
      <c r="O35" s="64">
        <f t="shared" si="6"/>
        <v>7.8205749999999998</v>
      </c>
      <c r="P35" s="10"/>
      <c r="Q35" s="10"/>
    </row>
    <row r="36" spans="1:17" ht="13.5" thickBot="1" x14ac:dyDescent="0.25">
      <c r="A36" s="29">
        <v>7</v>
      </c>
      <c r="B36" s="30">
        <v>32</v>
      </c>
      <c r="C36" s="21" t="s">
        <v>73</v>
      </c>
      <c r="D36" s="137">
        <f t="shared" si="4"/>
        <v>40</v>
      </c>
      <c r="E36" s="138">
        <f t="shared" si="4"/>
        <v>15.576923076923077</v>
      </c>
      <c r="F36" s="84">
        <f t="shared" si="4"/>
        <v>623.20000000000005</v>
      </c>
      <c r="G36" s="84"/>
      <c r="H36" s="138">
        <f t="shared" si="4"/>
        <v>0</v>
      </c>
      <c r="I36" s="85">
        <f t="shared" si="4"/>
        <v>23.365384615384613</v>
      </c>
      <c r="J36" s="60">
        <f t="shared" si="4"/>
        <v>0</v>
      </c>
      <c r="K36" s="60"/>
      <c r="L36" s="86">
        <f t="shared" si="4"/>
        <v>623.20000000000005</v>
      </c>
      <c r="M36" s="85"/>
      <c r="N36" s="64">
        <f t="shared" si="5"/>
        <v>38.638400000000004</v>
      </c>
      <c r="O36" s="64">
        <f t="shared" si="6"/>
        <v>9.0364000000000004</v>
      </c>
      <c r="P36" s="10"/>
      <c r="Q36" s="10"/>
    </row>
    <row r="37" spans="1:17" ht="13.5" thickBot="1" x14ac:dyDescent="0.25">
      <c r="A37" s="29">
        <v>8</v>
      </c>
      <c r="B37" s="30">
        <v>33</v>
      </c>
      <c r="C37" s="21" t="s">
        <v>74</v>
      </c>
      <c r="D37" s="137">
        <f t="shared" si="4"/>
        <v>40</v>
      </c>
      <c r="E37" s="138">
        <f t="shared" si="4"/>
        <v>19.326923076923077</v>
      </c>
      <c r="F37" s="84">
        <f t="shared" si="4"/>
        <v>773.2</v>
      </c>
      <c r="G37" s="84"/>
      <c r="H37" s="138">
        <f t="shared" si="4"/>
        <v>0</v>
      </c>
      <c r="I37" s="85">
        <f t="shared" si="4"/>
        <v>28.990384615384613</v>
      </c>
      <c r="J37" s="60">
        <f t="shared" si="4"/>
        <v>0</v>
      </c>
      <c r="K37" s="60"/>
      <c r="L37" s="86">
        <f t="shared" si="4"/>
        <v>773.2</v>
      </c>
      <c r="M37" s="85"/>
      <c r="N37" s="64">
        <f t="shared" si="5"/>
        <v>47.938400000000001</v>
      </c>
      <c r="O37" s="64">
        <f t="shared" si="6"/>
        <v>11.211399999999999</v>
      </c>
      <c r="P37" s="10"/>
      <c r="Q37" s="10"/>
    </row>
    <row r="38" spans="1:17" ht="13.5" thickBot="1" x14ac:dyDescent="0.25">
      <c r="A38" s="29">
        <v>9</v>
      </c>
      <c r="B38" s="30">
        <v>51</v>
      </c>
      <c r="C38" s="21" t="s">
        <v>75</v>
      </c>
      <c r="D38" s="137">
        <f t="shared" si="4"/>
        <v>40</v>
      </c>
      <c r="E38" s="138">
        <f t="shared" si="4"/>
        <v>14.480769230769232</v>
      </c>
      <c r="F38" s="87">
        <f t="shared" si="4"/>
        <v>579.20000000000005</v>
      </c>
      <c r="G38" s="84"/>
      <c r="H38" s="138">
        <f t="shared" si="4"/>
        <v>4</v>
      </c>
      <c r="I38" s="85">
        <f t="shared" si="4"/>
        <v>21.721153846153847</v>
      </c>
      <c r="J38" s="60">
        <f t="shared" si="4"/>
        <v>86.884615384615387</v>
      </c>
      <c r="K38" s="60"/>
      <c r="L38" s="86">
        <f t="shared" si="4"/>
        <v>666.0846153846154</v>
      </c>
      <c r="M38" s="85"/>
      <c r="N38" s="64">
        <f t="shared" si="5"/>
        <v>41.297246153846153</v>
      </c>
      <c r="O38" s="64">
        <f t="shared" si="6"/>
        <v>9.6582269230769224</v>
      </c>
      <c r="P38" s="10"/>
      <c r="Q38" s="10"/>
    </row>
    <row r="39" spans="1:17" ht="13.5" thickBot="1" x14ac:dyDescent="0.25">
      <c r="A39" s="29">
        <v>10</v>
      </c>
      <c r="B39" s="30">
        <v>99</v>
      </c>
      <c r="C39" s="21" t="s">
        <v>76</v>
      </c>
      <c r="D39" s="137">
        <f t="shared" si="4"/>
        <v>40</v>
      </c>
      <c r="E39" s="138">
        <f t="shared" si="4"/>
        <v>25</v>
      </c>
      <c r="F39" s="88">
        <f t="shared" si="4"/>
        <v>1000</v>
      </c>
      <c r="G39" s="106"/>
      <c r="H39" s="85">
        <f t="shared" si="4"/>
        <v>0</v>
      </c>
      <c r="I39" s="85" t="str">
        <f t="shared" si="4"/>
        <v>N/A</v>
      </c>
      <c r="J39" s="60">
        <f t="shared" si="4"/>
        <v>0</v>
      </c>
      <c r="K39" s="60"/>
      <c r="L39" s="89">
        <f t="shared" si="4"/>
        <v>1000</v>
      </c>
      <c r="M39" s="114"/>
      <c r="N39" s="64">
        <f>L39*6.2%</f>
        <v>62</v>
      </c>
      <c r="O39" s="64">
        <f t="shared" si="6"/>
        <v>14.499999999999998</v>
      </c>
      <c r="P39" s="10"/>
      <c r="Q39" s="10"/>
    </row>
    <row r="40" spans="1:17" ht="14.25" thickTop="1" thickBot="1" x14ac:dyDescent="0.25">
      <c r="A40" s="28">
        <v>11</v>
      </c>
      <c r="B40" s="299" t="s">
        <v>78</v>
      </c>
      <c r="C40" s="300"/>
      <c r="D40" s="300"/>
      <c r="E40" s="300"/>
      <c r="F40" s="59">
        <f>$F$19</f>
        <v>7065.5499999999993</v>
      </c>
      <c r="G40" s="59"/>
      <c r="H40" s="83"/>
      <c r="I40" s="31"/>
      <c r="J40" s="61">
        <f>$J$19</f>
        <v>479.17461538461532</v>
      </c>
      <c r="K40" s="62"/>
      <c r="L40" s="62">
        <f>$L$19</f>
        <v>7544.7246153846145</v>
      </c>
      <c r="M40" s="115"/>
      <c r="N40" s="59">
        <f>SUM(N30:N39)</f>
        <v>467.77292615384619</v>
      </c>
      <c r="O40" s="59">
        <v>109.41</v>
      </c>
      <c r="P40" s="32"/>
      <c r="Q40" s="17"/>
    </row>
    <row r="41" spans="1:17" ht="17.25" x14ac:dyDescent="0.25">
      <c r="A41" s="2"/>
      <c r="O41" s="139"/>
    </row>
    <row r="42" spans="1:17" ht="15.75" x14ac:dyDescent="0.25">
      <c r="A42" s="1"/>
    </row>
  </sheetData>
  <mergeCells count="29">
    <mergeCell ref="N7:N8"/>
    <mergeCell ref="O7:O8"/>
    <mergeCell ref="B23:Q23"/>
    <mergeCell ref="B24:Q24"/>
    <mergeCell ref="B27:B29"/>
    <mergeCell ref="D27:F27"/>
    <mergeCell ref="H27:J27"/>
    <mergeCell ref="N27:O27"/>
    <mergeCell ref="D28:D29"/>
    <mergeCell ref="E28:E29"/>
    <mergeCell ref="H28:H29"/>
    <mergeCell ref="I28:I29"/>
    <mergeCell ref="B19:E19"/>
    <mergeCell ref="B40:E40"/>
    <mergeCell ref="C27:C29"/>
    <mergeCell ref="B2:O2"/>
    <mergeCell ref="B3:O3"/>
    <mergeCell ref="B6:B8"/>
    <mergeCell ref="D6:F6"/>
    <mergeCell ref="H6:J6"/>
    <mergeCell ref="D7:D8"/>
    <mergeCell ref="E7:E8"/>
    <mergeCell ref="H7:H8"/>
    <mergeCell ref="I7:I8"/>
    <mergeCell ref="N6:O6"/>
    <mergeCell ref="F7:F8"/>
    <mergeCell ref="J7:J8"/>
    <mergeCell ref="N28:N29"/>
    <mergeCell ref="O28:O29"/>
  </mergeCells>
  <phoneticPr fontId="1" type="noConversion"/>
  <pageMargins left="0.75" right="0.75" top="1" bottom="1" header="0.5" footer="0.5"/>
  <pageSetup orientation="portrait" horizontalDpi="4294967292" verticalDpi="4294967292" r:id="rId1"/>
  <ignoredErrors>
    <ignoredError sqref="I14 J10" formula="1"/>
  </ignoredErrors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workbookViewId="0">
      <selection activeCell="K25" sqref="K25"/>
    </sheetView>
  </sheetViews>
  <sheetFormatPr defaultRowHeight="12.75" x14ac:dyDescent="0.2"/>
  <cols>
    <col min="2" max="2" width="9.625" customWidth="1"/>
    <col min="3" max="3" width="17.75" bestFit="1" customWidth="1"/>
    <col min="6" max="14" width="9" customWidth="1"/>
    <col min="15" max="15" width="9" style="160"/>
    <col min="16" max="19" width="9" style="160" customWidth="1"/>
    <col min="20" max="20" width="0" hidden="1" customWidth="1"/>
  </cols>
  <sheetData>
    <row r="1" spans="1:20" ht="25.15" customHeight="1" x14ac:dyDescent="0.3">
      <c r="A1" s="40" t="s">
        <v>79</v>
      </c>
      <c r="P1" s="170" t="s">
        <v>109</v>
      </c>
    </row>
    <row r="2" spans="1:20" x14ac:dyDescent="0.2">
      <c r="A2" s="306"/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</row>
    <row r="3" spans="1:20" x14ac:dyDescent="0.2">
      <c r="A3" s="335" t="s">
        <v>54</v>
      </c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6"/>
    </row>
    <row r="4" spans="1:20" ht="14.25" customHeight="1" x14ac:dyDescent="0.2">
      <c r="A4" s="335" t="s">
        <v>55</v>
      </c>
      <c r="B4" s="335"/>
      <c r="C4" s="335"/>
      <c r="D4" s="335"/>
      <c r="E4" s="335"/>
      <c r="F4" s="335"/>
      <c r="G4" s="335"/>
      <c r="H4" s="335"/>
      <c r="I4" s="335"/>
      <c r="J4" s="335"/>
      <c r="K4" s="335"/>
      <c r="L4" s="335"/>
      <c r="M4" s="335"/>
      <c r="N4" s="335"/>
      <c r="O4" s="335"/>
      <c r="P4" s="335"/>
      <c r="Q4" s="335"/>
      <c r="R4" s="335"/>
      <c r="S4" s="336"/>
    </row>
    <row r="5" spans="1:20" ht="13.5" thickBot="1" x14ac:dyDescent="0.25">
      <c r="A5" s="6"/>
      <c r="B5" s="147"/>
      <c r="C5" s="148" t="s">
        <v>56</v>
      </c>
      <c r="D5" s="65">
        <v>40915</v>
      </c>
      <c r="E5" s="148"/>
      <c r="F5" s="154"/>
      <c r="G5" s="149"/>
      <c r="H5" s="147"/>
      <c r="I5" s="147"/>
      <c r="J5" s="147"/>
      <c r="K5" s="147"/>
      <c r="L5" s="147"/>
      <c r="M5" s="147"/>
      <c r="N5" s="147"/>
      <c r="O5" s="161"/>
      <c r="P5" s="161"/>
      <c r="Q5" s="162"/>
      <c r="R5" s="162"/>
      <c r="S5" s="171"/>
    </row>
    <row r="6" spans="1:20" ht="14.25" customHeight="1" thickBot="1" x14ac:dyDescent="0.25">
      <c r="A6" s="23"/>
      <c r="B6" s="150"/>
      <c r="C6" s="151"/>
      <c r="D6" s="151"/>
      <c r="E6" s="151"/>
      <c r="F6" s="150"/>
      <c r="G6" s="152"/>
      <c r="H6" s="150"/>
      <c r="I6" s="150"/>
      <c r="J6" s="150"/>
      <c r="K6" s="150"/>
      <c r="L6" s="150"/>
      <c r="M6" s="153"/>
      <c r="N6" s="153"/>
      <c r="O6" s="163"/>
      <c r="P6" s="163"/>
      <c r="Q6" s="164"/>
      <c r="R6" s="164"/>
      <c r="S6" s="172"/>
    </row>
    <row r="7" spans="1:20" ht="14.25" customHeight="1" thickTop="1" thickBot="1" x14ac:dyDescent="0.25">
      <c r="A7" s="24"/>
      <c r="B7" s="308" t="s">
        <v>57</v>
      </c>
      <c r="C7" s="301" t="s">
        <v>61</v>
      </c>
      <c r="D7" s="337" t="s">
        <v>107</v>
      </c>
      <c r="E7" s="340" t="s">
        <v>81</v>
      </c>
      <c r="F7" s="311" t="s">
        <v>58</v>
      </c>
      <c r="G7" s="312"/>
      <c r="H7" s="313"/>
      <c r="I7" s="314" t="s">
        <v>59</v>
      </c>
      <c r="J7" s="312"/>
      <c r="K7" s="315"/>
      <c r="L7" s="25"/>
      <c r="M7" s="342" t="s">
        <v>60</v>
      </c>
      <c r="N7" s="343"/>
      <c r="O7" s="343"/>
      <c r="P7" s="343"/>
      <c r="Q7" s="343"/>
      <c r="R7" s="343"/>
      <c r="S7" s="344"/>
    </row>
    <row r="8" spans="1:20" ht="25.5" customHeight="1" x14ac:dyDescent="0.2">
      <c r="A8" s="24"/>
      <c r="B8" s="309"/>
      <c r="C8" s="302"/>
      <c r="D8" s="338"/>
      <c r="E8" s="341"/>
      <c r="F8" s="326" t="s">
        <v>62</v>
      </c>
      <c r="G8" s="328" t="s">
        <v>63</v>
      </c>
      <c r="H8" s="25" t="s">
        <v>64</v>
      </c>
      <c r="I8" s="326" t="s">
        <v>62</v>
      </c>
      <c r="J8" s="328" t="s">
        <v>63</v>
      </c>
      <c r="K8" s="25" t="s">
        <v>64</v>
      </c>
      <c r="L8" s="104" t="s">
        <v>24</v>
      </c>
      <c r="M8" s="331" t="s">
        <v>65</v>
      </c>
      <c r="N8" s="302" t="s">
        <v>66</v>
      </c>
      <c r="O8" s="165" t="s">
        <v>84</v>
      </c>
      <c r="P8" s="165" t="s">
        <v>85</v>
      </c>
      <c r="Q8" s="165" t="s">
        <v>86</v>
      </c>
      <c r="R8" s="173" t="s">
        <v>87</v>
      </c>
      <c r="S8" s="174" t="s">
        <v>88</v>
      </c>
    </row>
    <row r="9" spans="1:20" ht="14.25" customHeight="1" thickBot="1" x14ac:dyDescent="0.25">
      <c r="A9" s="24"/>
      <c r="B9" s="310"/>
      <c r="C9" s="303"/>
      <c r="D9" s="339"/>
      <c r="E9" s="327"/>
      <c r="F9" s="327"/>
      <c r="G9" s="329"/>
      <c r="H9" s="33"/>
      <c r="I9" s="327"/>
      <c r="J9" s="329"/>
      <c r="K9" s="33"/>
      <c r="L9" s="93"/>
      <c r="M9" s="324"/>
      <c r="N9" s="303"/>
      <c r="O9" s="175"/>
      <c r="P9" s="166"/>
      <c r="Q9" s="167"/>
      <c r="R9" s="176"/>
      <c r="S9" s="177"/>
      <c r="T9" s="159" t="s">
        <v>108</v>
      </c>
    </row>
    <row r="10" spans="1:20" ht="14.25" thickTop="1" thickBot="1" x14ac:dyDescent="0.25">
      <c r="A10" s="80">
        <v>1</v>
      </c>
      <c r="B10" s="81">
        <v>11</v>
      </c>
      <c r="C10" s="82" t="s">
        <v>67</v>
      </c>
      <c r="D10" s="27" t="str">
        <f>B26</f>
        <v>S</v>
      </c>
      <c r="E10" s="27">
        <f>C26</f>
        <v>1</v>
      </c>
      <c r="F10" s="135">
        <v>40</v>
      </c>
      <c r="G10" s="136">
        <v>17.5</v>
      </c>
      <c r="H10" s="63">
        <f>F10*G10</f>
        <v>700</v>
      </c>
      <c r="I10" s="136">
        <v>0</v>
      </c>
      <c r="J10" s="90">
        <v>26.25</v>
      </c>
      <c r="K10" s="91">
        <v>0</v>
      </c>
      <c r="L10" s="92">
        <v>700</v>
      </c>
      <c r="M10" s="155">
        <v>43.4</v>
      </c>
      <c r="N10" s="155">
        <v>10.149999999999999</v>
      </c>
      <c r="O10" s="178">
        <v>76</v>
      </c>
      <c r="P10" s="178">
        <f>ROUND(L10*3.07%,2)</f>
        <v>21.49</v>
      </c>
      <c r="Q10" s="168"/>
      <c r="R10" s="168">
        <f t="shared" ref="R10:R19" si="0">L10 * 3%</f>
        <v>21</v>
      </c>
      <c r="S10" s="179">
        <f>D26</f>
        <v>20</v>
      </c>
      <c r="T10" s="158">
        <f>L10-S10</f>
        <v>680</v>
      </c>
    </row>
    <row r="11" spans="1:20" ht="13.5" thickBot="1" x14ac:dyDescent="0.25">
      <c r="A11" s="29">
        <v>2</v>
      </c>
      <c r="B11" s="30">
        <v>12</v>
      </c>
      <c r="C11" s="21" t="s">
        <v>68</v>
      </c>
      <c r="D11" s="29" t="str">
        <f t="shared" ref="D11:D19" si="1">B27</f>
        <v>S</v>
      </c>
      <c r="E11" s="29">
        <f t="shared" ref="E11:E19" si="2">C27</f>
        <v>0</v>
      </c>
      <c r="F11" s="137">
        <v>40</v>
      </c>
      <c r="G11" s="138">
        <v>17.25</v>
      </c>
      <c r="H11" s="84">
        <v>690</v>
      </c>
      <c r="I11" s="138">
        <v>8</v>
      </c>
      <c r="J11" s="85">
        <v>25.875</v>
      </c>
      <c r="K11" s="60">
        <v>207</v>
      </c>
      <c r="L11" s="86">
        <f>K11+H11</f>
        <v>897</v>
      </c>
      <c r="M11" s="156">
        <v>55.61</v>
      </c>
      <c r="N11" s="156">
        <v>13.007079999999998</v>
      </c>
      <c r="O11" s="180">
        <v>119</v>
      </c>
      <c r="P11" s="180">
        <f t="shared" ref="P11:P19" si="3">ROUND(L11*3.07%,2)</f>
        <v>27.54</v>
      </c>
      <c r="Q11" s="169"/>
      <c r="R11" s="169">
        <f t="shared" si="0"/>
        <v>26.91</v>
      </c>
      <c r="S11" s="181">
        <f t="shared" ref="S11:S19" si="4">D27</f>
        <v>50</v>
      </c>
      <c r="T11" s="158">
        <f t="shared" ref="T11:T19" si="5">L11-S11</f>
        <v>847</v>
      </c>
    </row>
    <row r="12" spans="1:20" ht="14.25" customHeight="1" thickBot="1" x14ac:dyDescent="0.25">
      <c r="A12" s="29">
        <v>3</v>
      </c>
      <c r="B12" s="30">
        <v>13</v>
      </c>
      <c r="C12" s="21" t="s">
        <v>69</v>
      </c>
      <c r="D12" s="29" t="str">
        <f t="shared" si="1"/>
        <v>M</v>
      </c>
      <c r="E12" s="29">
        <f t="shared" si="2"/>
        <v>2</v>
      </c>
      <c r="F12" s="137">
        <v>37.5</v>
      </c>
      <c r="G12" s="138">
        <v>18.100000000000001</v>
      </c>
      <c r="H12" s="84">
        <v>678.75</v>
      </c>
      <c r="I12" s="138">
        <v>0</v>
      </c>
      <c r="J12" s="85">
        <v>27.150000000000002</v>
      </c>
      <c r="K12" s="60">
        <v>0</v>
      </c>
      <c r="L12" s="86">
        <f t="shared" ref="L12:L19" si="6">K12+H12</f>
        <v>678.75</v>
      </c>
      <c r="M12" s="156">
        <v>42.082500000000003</v>
      </c>
      <c r="N12" s="156">
        <v>9.8418749999999999</v>
      </c>
      <c r="O12" s="180">
        <v>32</v>
      </c>
      <c r="P12" s="180">
        <f t="shared" si="3"/>
        <v>20.84</v>
      </c>
      <c r="Q12" s="169"/>
      <c r="R12" s="169">
        <f t="shared" si="0"/>
        <v>20.362500000000001</v>
      </c>
      <c r="S12" s="181">
        <f t="shared" si="4"/>
        <v>40</v>
      </c>
      <c r="T12" s="158">
        <f t="shared" si="5"/>
        <v>638.75</v>
      </c>
    </row>
    <row r="13" spans="1:20" ht="14.25" customHeight="1" thickBot="1" x14ac:dyDescent="0.25">
      <c r="A13" s="29">
        <v>4</v>
      </c>
      <c r="B13" s="30">
        <v>21</v>
      </c>
      <c r="C13" s="21" t="s">
        <v>70</v>
      </c>
      <c r="D13" s="29" t="str">
        <f t="shared" si="1"/>
        <v>M</v>
      </c>
      <c r="E13" s="29">
        <f t="shared" si="2"/>
        <v>4</v>
      </c>
      <c r="F13" s="137">
        <v>40</v>
      </c>
      <c r="G13" s="138">
        <v>17.899999999999999</v>
      </c>
      <c r="H13" s="84">
        <v>716</v>
      </c>
      <c r="I13" s="138">
        <v>6</v>
      </c>
      <c r="J13" s="85">
        <v>26.849999999999998</v>
      </c>
      <c r="K13" s="60">
        <v>161.1</v>
      </c>
      <c r="L13" s="86">
        <f t="shared" si="6"/>
        <v>877.1</v>
      </c>
      <c r="M13" s="156">
        <v>54.380200000000002</v>
      </c>
      <c r="N13" s="156">
        <v>12.71795</v>
      </c>
      <c r="O13" s="180">
        <v>35</v>
      </c>
      <c r="P13" s="180">
        <f t="shared" si="3"/>
        <v>26.93</v>
      </c>
      <c r="Q13" s="169"/>
      <c r="R13" s="169">
        <f t="shared" si="0"/>
        <v>26.312999999999999</v>
      </c>
      <c r="S13" s="181">
        <f t="shared" si="4"/>
        <v>50</v>
      </c>
      <c r="T13" s="158">
        <f t="shared" si="5"/>
        <v>827.1</v>
      </c>
    </row>
    <row r="14" spans="1:20" ht="13.5" thickBot="1" x14ac:dyDescent="0.25">
      <c r="A14" s="29">
        <v>5</v>
      </c>
      <c r="B14" s="30">
        <v>22</v>
      </c>
      <c r="C14" s="21" t="s">
        <v>71</v>
      </c>
      <c r="D14" s="29" t="str">
        <f t="shared" si="1"/>
        <v>S</v>
      </c>
      <c r="E14" s="29">
        <f t="shared" si="2"/>
        <v>2</v>
      </c>
      <c r="F14" s="137">
        <v>40</v>
      </c>
      <c r="G14" s="138">
        <v>19.75</v>
      </c>
      <c r="H14" s="84">
        <v>790</v>
      </c>
      <c r="I14" s="138">
        <v>0</v>
      </c>
      <c r="J14" s="85">
        <v>29.625</v>
      </c>
      <c r="K14" s="60">
        <v>0</v>
      </c>
      <c r="L14" s="86">
        <f t="shared" si="6"/>
        <v>790</v>
      </c>
      <c r="M14" s="156">
        <v>48.98</v>
      </c>
      <c r="N14" s="156">
        <v>11.455</v>
      </c>
      <c r="O14" s="180">
        <v>78</v>
      </c>
      <c r="P14" s="180">
        <f t="shared" si="3"/>
        <v>24.25</v>
      </c>
      <c r="Q14" s="169"/>
      <c r="R14" s="169">
        <f t="shared" si="0"/>
        <v>23.7</v>
      </c>
      <c r="S14" s="181">
        <f t="shared" si="4"/>
        <v>20</v>
      </c>
      <c r="T14" s="158">
        <f t="shared" si="5"/>
        <v>770</v>
      </c>
    </row>
    <row r="15" spans="1:20" ht="13.5" thickBot="1" x14ac:dyDescent="0.25">
      <c r="A15" s="29">
        <v>6</v>
      </c>
      <c r="B15" s="30">
        <v>31</v>
      </c>
      <c r="C15" s="21" t="s">
        <v>72</v>
      </c>
      <c r="D15" s="29" t="str">
        <f t="shared" si="1"/>
        <v>M</v>
      </c>
      <c r="E15" s="29">
        <f t="shared" si="2"/>
        <v>3</v>
      </c>
      <c r="F15" s="137">
        <v>40</v>
      </c>
      <c r="G15" s="138">
        <v>12.875</v>
      </c>
      <c r="H15" s="84">
        <v>515</v>
      </c>
      <c r="I15" s="138">
        <v>1.25</v>
      </c>
      <c r="J15" s="85">
        <v>19.32</v>
      </c>
      <c r="K15" s="60">
        <v>24.14</v>
      </c>
      <c r="L15" s="86">
        <f t="shared" si="6"/>
        <v>539.14</v>
      </c>
      <c r="M15" s="156">
        <v>33.43</v>
      </c>
      <c r="N15" s="156">
        <v>7.8205749999999998</v>
      </c>
      <c r="O15" s="180">
        <v>10</v>
      </c>
      <c r="P15" s="180">
        <v>16.55</v>
      </c>
      <c r="Q15" s="169"/>
      <c r="R15" s="169">
        <v>16.170000000000002</v>
      </c>
      <c r="S15" s="181">
        <f t="shared" si="4"/>
        <v>40</v>
      </c>
      <c r="T15" s="158">
        <f t="shared" si="5"/>
        <v>499.14</v>
      </c>
    </row>
    <row r="16" spans="1:20" ht="13.5" thickBot="1" x14ac:dyDescent="0.25">
      <c r="A16" s="29">
        <v>7</v>
      </c>
      <c r="B16" s="30">
        <v>32</v>
      </c>
      <c r="C16" s="21" t="s">
        <v>73</v>
      </c>
      <c r="D16" s="29" t="str">
        <f t="shared" si="1"/>
        <v>M</v>
      </c>
      <c r="E16" s="29">
        <f t="shared" si="2"/>
        <v>6</v>
      </c>
      <c r="F16" s="137">
        <v>40</v>
      </c>
      <c r="G16" s="138">
        <v>15.576923076923077</v>
      </c>
      <c r="H16" s="84">
        <v>623.08000000000004</v>
      </c>
      <c r="I16" s="138">
        <v>0</v>
      </c>
      <c r="J16" s="85">
        <v>23.365384615384613</v>
      </c>
      <c r="K16" s="60">
        <v>0</v>
      </c>
      <c r="L16" s="86">
        <f t="shared" si="6"/>
        <v>623.08000000000004</v>
      </c>
      <c r="M16" s="156">
        <v>38.630000000000003</v>
      </c>
      <c r="N16" s="156">
        <v>9.0299999999999994</v>
      </c>
      <c r="O16" s="180">
        <v>0</v>
      </c>
      <c r="P16" s="180">
        <f t="shared" si="3"/>
        <v>19.13</v>
      </c>
      <c r="Q16" s="169"/>
      <c r="R16" s="169">
        <v>18.690000000000001</v>
      </c>
      <c r="S16" s="181">
        <f t="shared" si="4"/>
        <v>50</v>
      </c>
      <c r="T16" s="158">
        <f t="shared" si="5"/>
        <v>573.08000000000004</v>
      </c>
    </row>
    <row r="17" spans="1:20" ht="13.5" thickBot="1" x14ac:dyDescent="0.25">
      <c r="A17" s="29">
        <v>8</v>
      </c>
      <c r="B17" s="30">
        <v>33</v>
      </c>
      <c r="C17" s="21" t="s">
        <v>74</v>
      </c>
      <c r="D17" s="29" t="str">
        <f t="shared" si="1"/>
        <v>S</v>
      </c>
      <c r="E17" s="29">
        <f t="shared" si="2"/>
        <v>1</v>
      </c>
      <c r="F17" s="137">
        <v>40</v>
      </c>
      <c r="G17" s="138">
        <v>19.326923076923077</v>
      </c>
      <c r="H17" s="84">
        <v>773.08</v>
      </c>
      <c r="I17" s="138">
        <v>0</v>
      </c>
      <c r="J17" s="85">
        <v>28.990384615384613</v>
      </c>
      <c r="K17" s="60">
        <v>0</v>
      </c>
      <c r="L17" s="86">
        <f t="shared" si="6"/>
        <v>773.08</v>
      </c>
      <c r="M17" s="156">
        <v>47.93</v>
      </c>
      <c r="N17" s="156">
        <v>11.211399999999999</v>
      </c>
      <c r="O17" s="180">
        <v>80</v>
      </c>
      <c r="P17" s="180">
        <v>23.73</v>
      </c>
      <c r="Q17" s="169"/>
      <c r="R17" s="169">
        <v>23.19</v>
      </c>
      <c r="S17" s="181">
        <f t="shared" si="4"/>
        <v>60</v>
      </c>
      <c r="T17" s="158">
        <f t="shared" si="5"/>
        <v>713.08</v>
      </c>
    </row>
    <row r="18" spans="1:20" ht="13.5" thickBot="1" x14ac:dyDescent="0.25">
      <c r="A18" s="29">
        <v>9</v>
      </c>
      <c r="B18" s="30">
        <v>51</v>
      </c>
      <c r="C18" s="21" t="s">
        <v>75</v>
      </c>
      <c r="D18" s="29" t="str">
        <f t="shared" si="1"/>
        <v>M</v>
      </c>
      <c r="E18" s="29">
        <f t="shared" si="2"/>
        <v>5</v>
      </c>
      <c r="F18" s="137">
        <v>40</v>
      </c>
      <c r="G18" s="138">
        <v>14.480769230769232</v>
      </c>
      <c r="H18" s="87">
        <v>579.23</v>
      </c>
      <c r="I18" s="138">
        <v>4</v>
      </c>
      <c r="J18" s="85">
        <v>21.721153846153847</v>
      </c>
      <c r="K18" s="60">
        <v>86.884615384615387</v>
      </c>
      <c r="L18" s="86">
        <f t="shared" si="6"/>
        <v>666.11461538461538</v>
      </c>
      <c r="M18" s="156">
        <v>41.297246153846153</v>
      </c>
      <c r="N18" s="156">
        <v>9.6582269230769224</v>
      </c>
      <c r="O18" s="180">
        <v>9</v>
      </c>
      <c r="P18" s="180">
        <f t="shared" si="3"/>
        <v>20.45</v>
      </c>
      <c r="Q18" s="169"/>
      <c r="R18" s="169">
        <f t="shared" si="0"/>
        <v>19.983438461538462</v>
      </c>
      <c r="S18" s="181">
        <f t="shared" si="4"/>
        <v>30</v>
      </c>
      <c r="T18" s="158">
        <f t="shared" si="5"/>
        <v>636.11461538461538</v>
      </c>
    </row>
    <row r="19" spans="1:20" ht="13.5" thickBot="1" x14ac:dyDescent="0.25">
      <c r="A19" s="29">
        <v>10</v>
      </c>
      <c r="B19" s="30">
        <v>99</v>
      </c>
      <c r="C19" s="21" t="s">
        <v>76</v>
      </c>
      <c r="D19" s="29" t="str">
        <f t="shared" si="1"/>
        <v>M</v>
      </c>
      <c r="E19" s="29">
        <f t="shared" si="2"/>
        <v>7</v>
      </c>
      <c r="F19" s="137">
        <v>40</v>
      </c>
      <c r="G19" s="138">
        <v>25</v>
      </c>
      <c r="H19" s="88">
        <v>1000</v>
      </c>
      <c r="I19" s="85">
        <v>0</v>
      </c>
      <c r="J19" s="85" t="s">
        <v>77</v>
      </c>
      <c r="K19" s="60">
        <v>0</v>
      </c>
      <c r="L19" s="86">
        <f t="shared" si="6"/>
        <v>1000</v>
      </c>
      <c r="M19" s="156">
        <v>62</v>
      </c>
      <c r="N19" s="156">
        <v>14.499999999999998</v>
      </c>
      <c r="O19" s="180">
        <v>22</v>
      </c>
      <c r="P19" s="180">
        <f t="shared" si="3"/>
        <v>30.7</v>
      </c>
      <c r="Q19" s="169"/>
      <c r="R19" s="169">
        <f t="shared" si="0"/>
        <v>30</v>
      </c>
      <c r="S19" s="181">
        <f t="shared" si="4"/>
        <v>80</v>
      </c>
      <c r="T19" s="158">
        <f t="shared" si="5"/>
        <v>920</v>
      </c>
    </row>
    <row r="20" spans="1:20" ht="13.5" thickBot="1" x14ac:dyDescent="0.25">
      <c r="A20" s="28">
        <v>11</v>
      </c>
      <c r="B20" s="299" t="s">
        <v>78</v>
      </c>
      <c r="C20" s="300"/>
      <c r="D20" s="300"/>
      <c r="E20" s="300"/>
      <c r="F20" s="300"/>
      <c r="G20" s="300"/>
      <c r="H20" s="59">
        <v>7065.14</v>
      </c>
      <c r="I20" s="83"/>
      <c r="J20" s="31"/>
      <c r="K20" s="61">
        <f>SUM(K10:K19)</f>
        <v>479.12461538461537</v>
      </c>
      <c r="L20" s="62">
        <f>SUM(L10:L19)</f>
        <v>7544.2646153846154</v>
      </c>
      <c r="M20" s="59">
        <f>SUM(M10:M19)</f>
        <v>467.73994615384618</v>
      </c>
      <c r="N20" s="86">
        <f>SUM(N10:N19)</f>
        <v>109.39210692307692</v>
      </c>
      <c r="O20" s="182">
        <f>SUM(O10:O19)</f>
        <v>461</v>
      </c>
      <c r="P20" s="184">
        <f t="shared" ref="P20:S20" si="7">SUM(P10:P19)</f>
        <v>231.60999999999999</v>
      </c>
      <c r="Q20" s="182"/>
      <c r="R20" s="182">
        <f>SUM(R10:R19)</f>
        <v>226.31893846153847</v>
      </c>
      <c r="S20" s="182">
        <f t="shared" si="7"/>
        <v>440</v>
      </c>
    </row>
    <row r="21" spans="1:20" x14ac:dyDescent="0.2">
      <c r="A21" s="157"/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83"/>
      <c r="R21" s="170"/>
    </row>
    <row r="24" spans="1:20" ht="15" x14ac:dyDescent="0.3">
      <c r="A24" s="332" t="s">
        <v>90</v>
      </c>
      <c r="B24" s="333"/>
      <c r="C24" s="333"/>
      <c r="D24" s="334"/>
      <c r="H24">
        <f>515.2+24.15</f>
        <v>539.35</v>
      </c>
    </row>
    <row r="25" spans="1:20" ht="45.75" thickBot="1" x14ac:dyDescent="0.25">
      <c r="A25" s="45" t="s">
        <v>91</v>
      </c>
      <c r="B25" s="46" t="s">
        <v>80</v>
      </c>
      <c r="C25" s="46" t="s">
        <v>92</v>
      </c>
      <c r="D25" s="46" t="s">
        <v>93</v>
      </c>
    </row>
    <row r="26" spans="1:20" ht="14.25" thickBot="1" x14ac:dyDescent="0.25">
      <c r="A26" s="42">
        <v>11</v>
      </c>
      <c r="B26" s="43" t="s">
        <v>11</v>
      </c>
      <c r="C26" s="43">
        <v>1</v>
      </c>
      <c r="D26" s="44">
        <v>20</v>
      </c>
    </row>
    <row r="27" spans="1:20" ht="14.25" thickBot="1" x14ac:dyDescent="0.25">
      <c r="A27" s="42">
        <v>12</v>
      </c>
      <c r="B27" s="43" t="s">
        <v>11</v>
      </c>
      <c r="C27" s="43">
        <v>0</v>
      </c>
      <c r="D27" s="43">
        <v>50</v>
      </c>
    </row>
    <row r="28" spans="1:20" ht="14.25" thickBot="1" x14ac:dyDescent="0.25">
      <c r="A28" s="42">
        <v>13</v>
      </c>
      <c r="B28" s="43" t="s">
        <v>6</v>
      </c>
      <c r="C28" s="43">
        <v>2</v>
      </c>
      <c r="D28" s="43">
        <v>40</v>
      </c>
    </row>
    <row r="29" spans="1:20" ht="14.25" thickBot="1" x14ac:dyDescent="0.25">
      <c r="A29" s="42">
        <v>21</v>
      </c>
      <c r="B29" s="43" t="s">
        <v>6</v>
      </c>
      <c r="C29" s="43">
        <v>4</v>
      </c>
      <c r="D29" s="43">
        <v>50</v>
      </c>
    </row>
    <row r="30" spans="1:20" ht="14.25" thickBot="1" x14ac:dyDescent="0.25">
      <c r="A30" s="42">
        <v>22</v>
      </c>
      <c r="B30" s="43" t="s">
        <v>11</v>
      </c>
      <c r="C30" s="43">
        <v>2</v>
      </c>
      <c r="D30" s="43">
        <v>20</v>
      </c>
    </row>
    <row r="31" spans="1:20" ht="14.25" thickBot="1" x14ac:dyDescent="0.25">
      <c r="A31" s="42">
        <v>31</v>
      </c>
      <c r="B31" s="43" t="s">
        <v>6</v>
      </c>
      <c r="C31" s="43">
        <v>3</v>
      </c>
      <c r="D31" s="43">
        <v>40</v>
      </c>
    </row>
    <row r="32" spans="1:20" ht="14.25" thickBot="1" x14ac:dyDescent="0.25">
      <c r="A32" s="42">
        <v>32</v>
      </c>
      <c r="B32" s="43" t="s">
        <v>6</v>
      </c>
      <c r="C32" s="43">
        <v>6</v>
      </c>
      <c r="D32" s="43">
        <v>50</v>
      </c>
    </row>
    <row r="33" spans="1:4" ht="14.25" thickBot="1" x14ac:dyDescent="0.25">
      <c r="A33" s="42">
        <v>33</v>
      </c>
      <c r="B33" s="43" t="s">
        <v>11</v>
      </c>
      <c r="C33" s="43">
        <v>1</v>
      </c>
      <c r="D33" s="43">
        <v>60</v>
      </c>
    </row>
    <row r="34" spans="1:4" ht="14.25" thickBot="1" x14ac:dyDescent="0.25">
      <c r="A34" s="42">
        <v>51</v>
      </c>
      <c r="B34" s="43" t="s">
        <v>6</v>
      </c>
      <c r="C34" s="43">
        <v>5</v>
      </c>
      <c r="D34" s="43">
        <v>30</v>
      </c>
    </row>
    <row r="35" spans="1:4" ht="14.25" thickBot="1" x14ac:dyDescent="0.25">
      <c r="A35" s="42">
        <v>99</v>
      </c>
      <c r="B35" s="43" t="s">
        <v>6</v>
      </c>
      <c r="C35" s="43">
        <v>7</v>
      </c>
      <c r="D35" s="43">
        <v>80</v>
      </c>
    </row>
    <row r="36" spans="1:4" x14ac:dyDescent="0.2">
      <c r="D36" s="185"/>
    </row>
  </sheetData>
  <mergeCells count="18">
    <mergeCell ref="A2:O2"/>
    <mergeCell ref="A3:S3"/>
    <mergeCell ref="B20:G20"/>
    <mergeCell ref="A4:S4"/>
    <mergeCell ref="B7:B9"/>
    <mergeCell ref="C7:C9"/>
    <mergeCell ref="D7:D9"/>
    <mergeCell ref="E7:E9"/>
    <mergeCell ref="F7:H7"/>
    <mergeCell ref="I7:K7"/>
    <mergeCell ref="M7:S7"/>
    <mergeCell ref="F8:F9"/>
    <mergeCell ref="G8:G9"/>
    <mergeCell ref="I8:I9"/>
    <mergeCell ref="J8:J9"/>
    <mergeCell ref="M8:M9"/>
    <mergeCell ref="N8:N9"/>
    <mergeCell ref="A24:D2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6"/>
  <sheetViews>
    <sheetView workbookViewId="0">
      <selection activeCell="S10" sqref="S10:S19"/>
    </sheetView>
  </sheetViews>
  <sheetFormatPr defaultRowHeight="12.75" x14ac:dyDescent="0.2"/>
  <cols>
    <col min="2" max="2" width="9.625" customWidth="1"/>
    <col min="3" max="3" width="17.75" customWidth="1"/>
    <col min="6" max="14" width="9" customWidth="1"/>
    <col min="15" max="15" width="9" style="160"/>
    <col min="16" max="19" width="9" style="160" customWidth="1"/>
    <col min="20" max="20" width="0" hidden="1" customWidth="1"/>
    <col min="29" max="29" width="10.625" customWidth="1"/>
  </cols>
  <sheetData>
    <row r="1" spans="1:31" ht="25.15" customHeight="1" x14ac:dyDescent="0.3">
      <c r="A1" s="40" t="s">
        <v>116</v>
      </c>
      <c r="P1" s="170" t="s">
        <v>109</v>
      </c>
    </row>
    <row r="2" spans="1:31" x14ac:dyDescent="0.2">
      <c r="A2" s="306"/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186"/>
      <c r="Q2" s="186"/>
      <c r="R2" s="186"/>
      <c r="S2" s="186"/>
    </row>
    <row r="3" spans="1:31" x14ac:dyDescent="0.2">
      <c r="A3" s="335" t="s">
        <v>54</v>
      </c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6"/>
    </row>
    <row r="4" spans="1:31" ht="14.25" customHeight="1" x14ac:dyDescent="0.2">
      <c r="A4" s="335" t="s">
        <v>55</v>
      </c>
      <c r="B4" s="335"/>
      <c r="C4" s="335"/>
      <c r="D4" s="335"/>
      <c r="E4" s="335"/>
      <c r="F4" s="335"/>
      <c r="G4" s="335"/>
      <c r="H4" s="335"/>
      <c r="I4" s="335"/>
      <c r="J4" s="335"/>
      <c r="K4" s="335"/>
      <c r="L4" s="335"/>
      <c r="M4" s="335"/>
      <c r="N4" s="335"/>
      <c r="O4" s="335"/>
      <c r="P4" s="335"/>
      <c r="Q4" s="335"/>
      <c r="R4" s="335"/>
      <c r="S4" s="336"/>
    </row>
    <row r="5" spans="1:31" ht="13.5" thickBot="1" x14ac:dyDescent="0.25">
      <c r="A5" s="6"/>
      <c r="B5" s="147"/>
      <c r="C5" s="148" t="s">
        <v>56</v>
      </c>
      <c r="D5" s="65">
        <v>40915</v>
      </c>
      <c r="E5" s="148"/>
      <c r="F5" s="154"/>
      <c r="G5" s="149"/>
      <c r="H5" s="147"/>
      <c r="I5" s="147"/>
      <c r="J5" s="147"/>
      <c r="K5" s="147"/>
      <c r="L5" s="147"/>
      <c r="M5" s="147"/>
      <c r="N5" s="147"/>
      <c r="O5" s="161"/>
      <c r="P5" s="161"/>
      <c r="Q5" s="162"/>
      <c r="R5" s="162"/>
      <c r="S5" s="171"/>
      <c r="U5" s="147"/>
      <c r="V5" s="147"/>
      <c r="W5" s="161"/>
      <c r="X5" s="161"/>
      <c r="Y5" s="162"/>
      <c r="Z5" s="162"/>
      <c r="AA5" s="171"/>
      <c r="AB5" s="161"/>
      <c r="AC5" s="162"/>
      <c r="AD5" s="162"/>
      <c r="AE5" s="171"/>
    </row>
    <row r="6" spans="1:31" ht="14.25" customHeight="1" thickBot="1" x14ac:dyDescent="0.25">
      <c r="A6" s="23"/>
      <c r="B6" s="150"/>
      <c r="C6" s="151"/>
      <c r="D6" s="151"/>
      <c r="E6" s="151"/>
      <c r="F6" s="150"/>
      <c r="G6" s="152"/>
      <c r="H6" s="150"/>
      <c r="I6" s="150"/>
      <c r="J6" s="150"/>
      <c r="K6" s="150"/>
      <c r="L6" s="150"/>
      <c r="M6" s="153"/>
      <c r="N6" s="153"/>
      <c r="O6" s="191"/>
      <c r="P6" s="191"/>
      <c r="Q6" s="192"/>
      <c r="R6" s="192"/>
      <c r="S6" s="193"/>
      <c r="U6" s="153"/>
      <c r="V6" s="153"/>
      <c r="W6" s="163"/>
      <c r="X6" s="163"/>
      <c r="Y6" s="164"/>
      <c r="Z6" s="164"/>
      <c r="AA6" s="172"/>
      <c r="AB6" s="163"/>
      <c r="AC6" s="164"/>
      <c r="AD6" s="164"/>
      <c r="AE6" s="172"/>
    </row>
    <row r="7" spans="1:31" ht="14.25" customHeight="1" thickTop="1" thickBot="1" x14ac:dyDescent="0.25">
      <c r="A7" s="24"/>
      <c r="B7" s="308" t="s">
        <v>57</v>
      </c>
      <c r="C7" s="301" t="s">
        <v>61</v>
      </c>
      <c r="D7" s="337" t="s">
        <v>107</v>
      </c>
      <c r="E7" s="340" t="s">
        <v>81</v>
      </c>
      <c r="F7" s="311" t="s">
        <v>58</v>
      </c>
      <c r="G7" s="312"/>
      <c r="H7" s="313"/>
      <c r="I7" s="314" t="s">
        <v>59</v>
      </c>
      <c r="J7" s="312"/>
      <c r="K7" s="315"/>
      <c r="L7" s="25"/>
      <c r="M7" s="311" t="s">
        <v>60</v>
      </c>
      <c r="N7" s="312"/>
      <c r="O7" s="312"/>
      <c r="P7" s="312"/>
      <c r="Q7" s="312"/>
      <c r="R7" s="312"/>
      <c r="S7" s="312"/>
      <c r="T7" s="312"/>
      <c r="U7" s="312"/>
      <c r="V7" s="315"/>
      <c r="W7" s="311" t="s">
        <v>94</v>
      </c>
      <c r="X7" s="315"/>
      <c r="Y7" s="311" t="s">
        <v>95</v>
      </c>
      <c r="Z7" s="312"/>
      <c r="AA7" s="312"/>
      <c r="AB7" s="315"/>
      <c r="AC7" s="311" t="s">
        <v>96</v>
      </c>
      <c r="AD7" s="312"/>
      <c r="AE7" s="347"/>
    </row>
    <row r="8" spans="1:31" ht="25.5" customHeight="1" x14ac:dyDescent="0.2">
      <c r="A8" s="24"/>
      <c r="B8" s="309"/>
      <c r="C8" s="302"/>
      <c r="D8" s="338"/>
      <c r="E8" s="341"/>
      <c r="F8" s="326" t="s">
        <v>62</v>
      </c>
      <c r="G8" s="328" t="s">
        <v>63</v>
      </c>
      <c r="H8" s="25" t="s">
        <v>64</v>
      </c>
      <c r="I8" s="326" t="s">
        <v>62</v>
      </c>
      <c r="J8" s="328" t="s">
        <v>63</v>
      </c>
      <c r="K8" s="25" t="s">
        <v>64</v>
      </c>
      <c r="L8" s="206" t="s">
        <v>24</v>
      </c>
      <c r="M8" s="323" t="s">
        <v>65</v>
      </c>
      <c r="N8" s="325" t="s">
        <v>66</v>
      </c>
      <c r="O8" s="201" t="s">
        <v>84</v>
      </c>
      <c r="P8" s="201" t="s">
        <v>85</v>
      </c>
      <c r="Q8" s="215" t="s">
        <v>86</v>
      </c>
      <c r="R8" s="210" t="s">
        <v>87</v>
      </c>
      <c r="S8" s="211" t="s">
        <v>88</v>
      </c>
      <c r="U8" s="323" t="s">
        <v>110</v>
      </c>
      <c r="V8" s="325" t="s">
        <v>111</v>
      </c>
      <c r="W8" s="217" t="s">
        <v>112</v>
      </c>
      <c r="X8" s="218" t="s">
        <v>64</v>
      </c>
      <c r="Y8" s="173" t="s">
        <v>82</v>
      </c>
      <c r="Z8" s="173" t="s">
        <v>83</v>
      </c>
      <c r="AA8" s="174" t="s">
        <v>97</v>
      </c>
      <c r="AB8" s="222" t="s">
        <v>86</v>
      </c>
      <c r="AC8" s="345" t="s">
        <v>114</v>
      </c>
      <c r="AD8" s="210" t="s">
        <v>113</v>
      </c>
      <c r="AE8" s="211" t="s">
        <v>115</v>
      </c>
    </row>
    <row r="9" spans="1:31" ht="14.25" customHeight="1" thickBot="1" x14ac:dyDescent="0.25">
      <c r="A9" s="24"/>
      <c r="B9" s="310"/>
      <c r="C9" s="303"/>
      <c r="D9" s="339"/>
      <c r="E9" s="327"/>
      <c r="F9" s="327"/>
      <c r="G9" s="329"/>
      <c r="H9" s="33"/>
      <c r="I9" s="327"/>
      <c r="J9" s="329"/>
      <c r="K9" s="33"/>
      <c r="L9" s="207"/>
      <c r="M9" s="324"/>
      <c r="N9" s="303"/>
      <c r="O9" s="175"/>
      <c r="P9" s="166"/>
      <c r="Q9" s="216"/>
      <c r="R9" s="176"/>
      <c r="S9" s="202"/>
      <c r="T9" s="159" t="s">
        <v>108</v>
      </c>
      <c r="U9" s="324"/>
      <c r="V9" s="303"/>
      <c r="W9" s="219"/>
      <c r="X9" s="220"/>
      <c r="Y9" s="200"/>
      <c r="Z9" s="176"/>
      <c r="AA9" s="177"/>
      <c r="AB9" s="166"/>
      <c r="AC9" s="346"/>
      <c r="AD9" s="176"/>
      <c r="AE9" s="223" t="s">
        <v>89</v>
      </c>
    </row>
    <row r="10" spans="1:31" ht="14.25" thickTop="1" thickBot="1" x14ac:dyDescent="0.25">
      <c r="A10" s="80">
        <v>1</v>
      </c>
      <c r="B10" s="81">
        <v>11</v>
      </c>
      <c r="C10" s="82" t="s">
        <v>67</v>
      </c>
      <c r="D10" s="27" t="str">
        <f>B26</f>
        <v>S</v>
      </c>
      <c r="E10" s="27">
        <f>C26</f>
        <v>1</v>
      </c>
      <c r="F10" s="135">
        <v>40</v>
      </c>
      <c r="G10" s="136">
        <v>17.5</v>
      </c>
      <c r="H10" s="63">
        <f>F10*G10</f>
        <v>700</v>
      </c>
      <c r="I10" s="136">
        <v>0</v>
      </c>
      <c r="J10" s="90">
        <v>26.25</v>
      </c>
      <c r="K10" s="91">
        <v>0</v>
      </c>
      <c r="L10" s="208">
        <v>700</v>
      </c>
      <c r="M10" s="203">
        <v>43.4</v>
      </c>
      <c r="N10" s="155">
        <v>10.149999999999999</v>
      </c>
      <c r="O10" s="194">
        <v>76</v>
      </c>
      <c r="P10" s="194">
        <f>ROUND(L10*3.07%,2)</f>
        <v>21.49</v>
      </c>
      <c r="Q10" s="168">
        <f>L10*0.07%</f>
        <v>0.49000000000000005</v>
      </c>
      <c r="R10" s="195">
        <f t="shared" ref="R10:R19" si="0">L10 * 3%</f>
        <v>21</v>
      </c>
      <c r="S10" s="212">
        <f>D26</f>
        <v>20</v>
      </c>
      <c r="T10" s="158">
        <f>L10-S10</f>
        <v>680</v>
      </c>
      <c r="U10" s="203"/>
      <c r="V10" s="155"/>
      <c r="W10" s="194"/>
      <c r="X10" s="212"/>
      <c r="Y10" s="168">
        <f>L10-S10</f>
        <v>680</v>
      </c>
      <c r="Z10" s="168">
        <f>L10</f>
        <v>700</v>
      </c>
      <c r="AA10" s="179">
        <f>L10</f>
        <v>700</v>
      </c>
      <c r="AB10" s="187">
        <f>L10</f>
        <v>700</v>
      </c>
      <c r="AC10" s="188">
        <f t="shared" ref="AC10:AC19" si="1">AA10*0.6%</f>
        <v>4.2</v>
      </c>
      <c r="AD10" s="189">
        <f t="shared" ref="AD10:AD19" si="2">AB10*3.6785%</f>
        <v>25.749499999999998</v>
      </c>
      <c r="AE10" s="224">
        <f>AA10*6%</f>
        <v>42</v>
      </c>
    </row>
    <row r="11" spans="1:31" ht="14.25" thickTop="1" thickBot="1" x14ac:dyDescent="0.25">
      <c r="A11" s="29">
        <v>2</v>
      </c>
      <c r="B11" s="30">
        <v>12</v>
      </c>
      <c r="C11" s="21" t="s">
        <v>68</v>
      </c>
      <c r="D11" s="29" t="str">
        <f t="shared" ref="D11:E19" si="3">B27</f>
        <v>S</v>
      </c>
      <c r="E11" s="29">
        <f t="shared" si="3"/>
        <v>0</v>
      </c>
      <c r="F11" s="137">
        <v>40</v>
      </c>
      <c r="G11" s="138">
        <v>17.25</v>
      </c>
      <c r="H11" s="84">
        <v>690</v>
      </c>
      <c r="I11" s="138">
        <v>8</v>
      </c>
      <c r="J11" s="85">
        <v>25.875</v>
      </c>
      <c r="K11" s="60">
        <v>207</v>
      </c>
      <c r="L11" s="209">
        <f>K11+H11</f>
        <v>897</v>
      </c>
      <c r="M11" s="204">
        <v>55.61</v>
      </c>
      <c r="N11" s="156">
        <v>13.007079999999998</v>
      </c>
      <c r="O11" s="196">
        <v>119</v>
      </c>
      <c r="P11" s="196">
        <f t="shared" ref="P11:P19" si="4">ROUND(L11*3.07%,2)</f>
        <v>27.54</v>
      </c>
      <c r="Q11" s="168">
        <f t="shared" ref="Q11:Q19" si="5">L11*0.07%</f>
        <v>0.62790000000000012</v>
      </c>
      <c r="R11" s="197">
        <f t="shared" si="0"/>
        <v>26.91</v>
      </c>
      <c r="S11" s="213">
        <f t="shared" ref="S11:S19" si="6">D27</f>
        <v>50</v>
      </c>
      <c r="T11" s="158">
        <f t="shared" ref="T11:T19" si="7">L11-S11</f>
        <v>847</v>
      </c>
      <c r="U11" s="204"/>
      <c r="V11" s="156"/>
      <c r="W11" s="196"/>
      <c r="X11" s="213"/>
      <c r="Y11" s="168">
        <f t="shared" ref="Y11:Y20" si="8">L11-S11</f>
        <v>847</v>
      </c>
      <c r="Z11" s="168">
        <f t="shared" ref="Z11:Z20" si="9">L11</f>
        <v>897</v>
      </c>
      <c r="AA11" s="179">
        <f t="shared" ref="AA11:AA20" si="10">L11</f>
        <v>897</v>
      </c>
      <c r="AB11" s="187">
        <f t="shared" ref="AB11:AB19" si="11">L11</f>
        <v>897</v>
      </c>
      <c r="AC11" s="188">
        <f t="shared" si="1"/>
        <v>5.3819999999999997</v>
      </c>
      <c r="AD11" s="189">
        <f t="shared" si="2"/>
        <v>32.996144999999999</v>
      </c>
      <c r="AE11" s="224">
        <f t="shared" ref="AE11:AE19" si="12">AA11*6%</f>
        <v>53.82</v>
      </c>
    </row>
    <row r="12" spans="1:31" ht="14.25" customHeight="1" thickTop="1" thickBot="1" x14ac:dyDescent="0.25">
      <c r="A12" s="29">
        <v>3</v>
      </c>
      <c r="B12" s="30">
        <v>13</v>
      </c>
      <c r="C12" s="21" t="s">
        <v>69</v>
      </c>
      <c r="D12" s="29" t="str">
        <f t="shared" si="3"/>
        <v>M</v>
      </c>
      <c r="E12" s="29">
        <f t="shared" si="3"/>
        <v>2</v>
      </c>
      <c r="F12" s="137">
        <v>37.5</v>
      </c>
      <c r="G12" s="138">
        <v>18.100000000000001</v>
      </c>
      <c r="H12" s="84">
        <v>678.75</v>
      </c>
      <c r="I12" s="138">
        <v>0</v>
      </c>
      <c r="J12" s="85">
        <v>27.150000000000002</v>
      </c>
      <c r="K12" s="60">
        <v>0</v>
      </c>
      <c r="L12" s="209">
        <f t="shared" ref="L12:L19" si="13">K12+H12</f>
        <v>678.75</v>
      </c>
      <c r="M12" s="204">
        <v>42.082500000000003</v>
      </c>
      <c r="N12" s="156">
        <v>9.8418749999999999</v>
      </c>
      <c r="O12" s="196">
        <v>32</v>
      </c>
      <c r="P12" s="196">
        <f t="shared" si="4"/>
        <v>20.84</v>
      </c>
      <c r="Q12" s="168">
        <f t="shared" si="5"/>
        <v>0.47512500000000008</v>
      </c>
      <c r="R12" s="197">
        <f t="shared" si="0"/>
        <v>20.362500000000001</v>
      </c>
      <c r="S12" s="213">
        <f t="shared" si="6"/>
        <v>40</v>
      </c>
      <c r="T12" s="158">
        <f t="shared" si="7"/>
        <v>638.75</v>
      </c>
      <c r="U12" s="204"/>
      <c r="V12" s="156"/>
      <c r="W12" s="196"/>
      <c r="X12" s="213"/>
      <c r="Y12" s="168">
        <f t="shared" si="8"/>
        <v>638.75</v>
      </c>
      <c r="Z12" s="168">
        <f t="shared" si="9"/>
        <v>678.75</v>
      </c>
      <c r="AA12" s="179">
        <f t="shared" si="10"/>
        <v>678.75</v>
      </c>
      <c r="AB12" s="187">
        <f t="shared" si="11"/>
        <v>678.75</v>
      </c>
      <c r="AC12" s="188">
        <f t="shared" si="1"/>
        <v>4.0724999999999998</v>
      </c>
      <c r="AD12" s="189">
        <f t="shared" si="2"/>
        <v>24.967818749999999</v>
      </c>
      <c r="AE12" s="224">
        <f t="shared" si="12"/>
        <v>40.725000000000001</v>
      </c>
    </row>
    <row r="13" spans="1:31" ht="14.25" customHeight="1" thickTop="1" thickBot="1" x14ac:dyDescent="0.25">
      <c r="A13" s="29">
        <v>4</v>
      </c>
      <c r="B13" s="30">
        <v>21</v>
      </c>
      <c r="C13" s="21" t="s">
        <v>70</v>
      </c>
      <c r="D13" s="29" t="str">
        <f t="shared" si="3"/>
        <v>M</v>
      </c>
      <c r="E13" s="29">
        <f t="shared" si="3"/>
        <v>4</v>
      </c>
      <c r="F13" s="137">
        <v>40</v>
      </c>
      <c r="G13" s="138">
        <v>17.899999999999999</v>
      </c>
      <c r="H13" s="84">
        <v>716</v>
      </c>
      <c r="I13" s="138">
        <v>6</v>
      </c>
      <c r="J13" s="85">
        <v>26.849999999999998</v>
      </c>
      <c r="K13" s="60">
        <v>161.1</v>
      </c>
      <c r="L13" s="209">
        <f t="shared" si="13"/>
        <v>877.1</v>
      </c>
      <c r="M13" s="204">
        <v>54.380200000000002</v>
      </c>
      <c r="N13" s="156">
        <v>12.71795</v>
      </c>
      <c r="O13" s="196">
        <v>35</v>
      </c>
      <c r="P13" s="196">
        <f t="shared" si="4"/>
        <v>26.93</v>
      </c>
      <c r="Q13" s="168">
        <f t="shared" si="5"/>
        <v>0.61397000000000013</v>
      </c>
      <c r="R13" s="197">
        <f t="shared" si="0"/>
        <v>26.312999999999999</v>
      </c>
      <c r="S13" s="213">
        <f t="shared" si="6"/>
        <v>50</v>
      </c>
      <c r="T13" s="158">
        <f t="shared" si="7"/>
        <v>827.1</v>
      </c>
      <c r="U13" s="204"/>
      <c r="V13" s="156"/>
      <c r="W13" s="196"/>
      <c r="X13" s="213"/>
      <c r="Y13" s="168">
        <f t="shared" si="8"/>
        <v>827.1</v>
      </c>
      <c r="Z13" s="168">
        <f t="shared" si="9"/>
        <v>877.1</v>
      </c>
      <c r="AA13" s="179">
        <f t="shared" si="10"/>
        <v>877.1</v>
      </c>
      <c r="AB13" s="187">
        <f t="shared" si="11"/>
        <v>877.1</v>
      </c>
      <c r="AC13" s="188">
        <f t="shared" si="1"/>
        <v>5.2625999999999999</v>
      </c>
      <c r="AD13" s="189">
        <f t="shared" si="2"/>
        <v>32.264123499999997</v>
      </c>
      <c r="AE13" s="224">
        <f t="shared" si="12"/>
        <v>52.625999999999998</v>
      </c>
    </row>
    <row r="14" spans="1:31" ht="14.25" thickTop="1" thickBot="1" x14ac:dyDescent="0.25">
      <c r="A14" s="29">
        <v>5</v>
      </c>
      <c r="B14" s="30">
        <v>22</v>
      </c>
      <c r="C14" s="21" t="s">
        <v>71</v>
      </c>
      <c r="D14" s="29" t="str">
        <f t="shared" si="3"/>
        <v>S</v>
      </c>
      <c r="E14" s="29">
        <f t="shared" si="3"/>
        <v>2</v>
      </c>
      <c r="F14" s="137">
        <v>40</v>
      </c>
      <c r="G14" s="138">
        <v>19.75</v>
      </c>
      <c r="H14" s="84">
        <v>790</v>
      </c>
      <c r="I14" s="138">
        <v>0</v>
      </c>
      <c r="J14" s="85">
        <v>29.625</v>
      </c>
      <c r="K14" s="60">
        <v>0</v>
      </c>
      <c r="L14" s="209">
        <f t="shared" si="13"/>
        <v>790</v>
      </c>
      <c r="M14" s="204">
        <v>48.98</v>
      </c>
      <c r="N14" s="156">
        <v>11.455</v>
      </c>
      <c r="O14" s="196">
        <v>78</v>
      </c>
      <c r="P14" s="196">
        <f t="shared" si="4"/>
        <v>24.25</v>
      </c>
      <c r="Q14" s="168">
        <f t="shared" si="5"/>
        <v>0.55300000000000005</v>
      </c>
      <c r="R14" s="197">
        <f t="shared" si="0"/>
        <v>23.7</v>
      </c>
      <c r="S14" s="213">
        <f t="shared" si="6"/>
        <v>20</v>
      </c>
      <c r="T14" s="158">
        <f t="shared" si="7"/>
        <v>770</v>
      </c>
      <c r="U14" s="204"/>
      <c r="V14" s="156"/>
      <c r="W14" s="196"/>
      <c r="X14" s="213"/>
      <c r="Y14" s="168">
        <f t="shared" si="8"/>
        <v>770</v>
      </c>
      <c r="Z14" s="168">
        <f t="shared" si="9"/>
        <v>790</v>
      </c>
      <c r="AA14" s="179">
        <f t="shared" si="10"/>
        <v>790</v>
      </c>
      <c r="AB14" s="187">
        <f t="shared" si="11"/>
        <v>790</v>
      </c>
      <c r="AC14" s="188">
        <f t="shared" si="1"/>
        <v>4.74</v>
      </c>
      <c r="AD14" s="189">
        <f t="shared" si="2"/>
        <v>29.06015</v>
      </c>
      <c r="AE14" s="224">
        <f t="shared" si="12"/>
        <v>47.4</v>
      </c>
    </row>
    <row r="15" spans="1:31" ht="14.25" thickTop="1" thickBot="1" x14ac:dyDescent="0.25">
      <c r="A15" s="29">
        <v>6</v>
      </c>
      <c r="B15" s="30">
        <v>31</v>
      </c>
      <c r="C15" s="21" t="s">
        <v>72</v>
      </c>
      <c r="D15" s="29" t="str">
        <f t="shared" si="3"/>
        <v>M</v>
      </c>
      <c r="E15" s="29">
        <f t="shared" si="3"/>
        <v>3</v>
      </c>
      <c r="F15" s="137">
        <v>40</v>
      </c>
      <c r="G15" s="138">
        <v>12.875</v>
      </c>
      <c r="H15" s="84">
        <v>515</v>
      </c>
      <c r="I15" s="138">
        <v>1.25</v>
      </c>
      <c r="J15" s="85">
        <v>19.32</v>
      </c>
      <c r="K15" s="60">
        <v>24.14</v>
      </c>
      <c r="L15" s="209">
        <f t="shared" si="13"/>
        <v>539.14</v>
      </c>
      <c r="M15" s="204">
        <v>33.43</v>
      </c>
      <c r="N15" s="156">
        <v>7.8205749999999998</v>
      </c>
      <c r="O15" s="196">
        <v>10</v>
      </c>
      <c r="P15" s="196">
        <v>16.55</v>
      </c>
      <c r="Q15" s="168">
        <f t="shared" si="5"/>
        <v>0.37739800000000007</v>
      </c>
      <c r="R15" s="197">
        <v>16.170000000000002</v>
      </c>
      <c r="S15" s="213">
        <f t="shared" si="6"/>
        <v>40</v>
      </c>
      <c r="T15" s="158">
        <f t="shared" si="7"/>
        <v>499.14</v>
      </c>
      <c r="U15" s="204"/>
      <c r="V15" s="156"/>
      <c r="W15" s="196"/>
      <c r="X15" s="213"/>
      <c r="Y15" s="168">
        <f t="shared" si="8"/>
        <v>499.14</v>
      </c>
      <c r="Z15" s="168">
        <f t="shared" si="9"/>
        <v>539.14</v>
      </c>
      <c r="AA15" s="179">
        <f t="shared" si="10"/>
        <v>539.14</v>
      </c>
      <c r="AB15" s="187">
        <f t="shared" si="11"/>
        <v>539.14</v>
      </c>
      <c r="AC15" s="188">
        <f t="shared" si="1"/>
        <v>3.2348400000000002</v>
      </c>
      <c r="AD15" s="189">
        <f t="shared" si="2"/>
        <v>19.832264899999998</v>
      </c>
      <c r="AE15" s="224">
        <f t="shared" si="12"/>
        <v>32.348399999999998</v>
      </c>
    </row>
    <row r="16" spans="1:31" ht="14.25" thickTop="1" thickBot="1" x14ac:dyDescent="0.25">
      <c r="A16" s="29">
        <v>7</v>
      </c>
      <c r="B16" s="30">
        <v>32</v>
      </c>
      <c r="C16" s="21" t="s">
        <v>73</v>
      </c>
      <c r="D16" s="29" t="str">
        <f t="shared" si="3"/>
        <v>M</v>
      </c>
      <c r="E16" s="29">
        <f t="shared" si="3"/>
        <v>6</v>
      </c>
      <c r="F16" s="137">
        <v>40</v>
      </c>
      <c r="G16" s="138">
        <v>15.576923076923077</v>
      </c>
      <c r="H16" s="84">
        <v>623.08000000000004</v>
      </c>
      <c r="I16" s="138">
        <v>0</v>
      </c>
      <c r="J16" s="85">
        <v>23.365384615384613</v>
      </c>
      <c r="K16" s="60">
        <v>0</v>
      </c>
      <c r="L16" s="209">
        <f t="shared" si="13"/>
        <v>623.08000000000004</v>
      </c>
      <c r="M16" s="204">
        <v>38.630000000000003</v>
      </c>
      <c r="N16" s="156">
        <v>9.0299999999999994</v>
      </c>
      <c r="O16" s="196">
        <v>0</v>
      </c>
      <c r="P16" s="196">
        <f t="shared" si="4"/>
        <v>19.13</v>
      </c>
      <c r="Q16" s="168">
        <f t="shared" si="5"/>
        <v>0.4361560000000001</v>
      </c>
      <c r="R16" s="197">
        <v>18.690000000000001</v>
      </c>
      <c r="S16" s="213">
        <f t="shared" si="6"/>
        <v>50</v>
      </c>
      <c r="T16" s="158">
        <f t="shared" si="7"/>
        <v>573.08000000000004</v>
      </c>
      <c r="U16" s="204"/>
      <c r="V16" s="156"/>
      <c r="W16" s="196"/>
      <c r="X16" s="213"/>
      <c r="Y16" s="168">
        <f t="shared" si="8"/>
        <v>573.08000000000004</v>
      </c>
      <c r="Z16" s="168">
        <f t="shared" si="9"/>
        <v>623.08000000000004</v>
      </c>
      <c r="AA16" s="179">
        <f t="shared" si="10"/>
        <v>623.08000000000004</v>
      </c>
      <c r="AB16" s="187">
        <f t="shared" si="11"/>
        <v>623.08000000000004</v>
      </c>
      <c r="AC16" s="188">
        <f t="shared" si="1"/>
        <v>3.7384800000000005</v>
      </c>
      <c r="AD16" s="189">
        <f t="shared" si="2"/>
        <v>22.919997800000001</v>
      </c>
      <c r="AE16" s="224">
        <f t="shared" si="12"/>
        <v>37.384799999999998</v>
      </c>
    </row>
    <row r="17" spans="1:31" ht="14.25" thickTop="1" thickBot="1" x14ac:dyDescent="0.25">
      <c r="A17" s="29">
        <v>8</v>
      </c>
      <c r="B17" s="30">
        <v>33</v>
      </c>
      <c r="C17" s="21" t="s">
        <v>74</v>
      </c>
      <c r="D17" s="29" t="str">
        <f t="shared" si="3"/>
        <v>S</v>
      </c>
      <c r="E17" s="29">
        <f t="shared" si="3"/>
        <v>1</v>
      </c>
      <c r="F17" s="137">
        <v>40</v>
      </c>
      <c r="G17" s="138">
        <v>19.326923076923077</v>
      </c>
      <c r="H17" s="84">
        <v>773.08</v>
      </c>
      <c r="I17" s="138">
        <v>0</v>
      </c>
      <c r="J17" s="85">
        <v>28.990384615384613</v>
      </c>
      <c r="K17" s="60">
        <v>0</v>
      </c>
      <c r="L17" s="209">
        <f t="shared" si="13"/>
        <v>773.08</v>
      </c>
      <c r="M17" s="204">
        <v>47.93</v>
      </c>
      <c r="N17" s="156">
        <v>11.211399999999999</v>
      </c>
      <c r="O17" s="196">
        <v>80</v>
      </c>
      <c r="P17" s="196">
        <v>23.73</v>
      </c>
      <c r="Q17" s="168">
        <f t="shared" si="5"/>
        <v>0.54115600000000008</v>
      </c>
      <c r="R17" s="197">
        <v>23.19</v>
      </c>
      <c r="S17" s="213">
        <f t="shared" si="6"/>
        <v>60</v>
      </c>
      <c r="T17" s="158">
        <f t="shared" si="7"/>
        <v>713.08</v>
      </c>
      <c r="U17" s="204"/>
      <c r="V17" s="156"/>
      <c r="W17" s="196"/>
      <c r="X17" s="213"/>
      <c r="Y17" s="168">
        <f t="shared" si="8"/>
        <v>713.08</v>
      </c>
      <c r="Z17" s="168">
        <f t="shared" si="9"/>
        <v>773.08</v>
      </c>
      <c r="AA17" s="179">
        <f t="shared" si="10"/>
        <v>773.08</v>
      </c>
      <c r="AB17" s="187">
        <f t="shared" si="11"/>
        <v>773.08</v>
      </c>
      <c r="AC17" s="188">
        <f t="shared" si="1"/>
        <v>4.6384800000000004</v>
      </c>
      <c r="AD17" s="189">
        <f t="shared" si="2"/>
        <v>28.4377478</v>
      </c>
      <c r="AE17" s="224">
        <f t="shared" si="12"/>
        <v>46.384799999999998</v>
      </c>
    </row>
    <row r="18" spans="1:31" ht="14.25" thickTop="1" thickBot="1" x14ac:dyDescent="0.25">
      <c r="A18" s="29">
        <v>9</v>
      </c>
      <c r="B18" s="30">
        <v>51</v>
      </c>
      <c r="C18" s="21" t="s">
        <v>75</v>
      </c>
      <c r="D18" s="29" t="str">
        <f t="shared" si="3"/>
        <v>M</v>
      </c>
      <c r="E18" s="29">
        <f t="shared" si="3"/>
        <v>5</v>
      </c>
      <c r="F18" s="137">
        <v>40</v>
      </c>
      <c r="G18" s="138">
        <v>14.480769230769232</v>
      </c>
      <c r="H18" s="87">
        <v>579.23</v>
      </c>
      <c r="I18" s="138">
        <v>4</v>
      </c>
      <c r="J18" s="85">
        <v>21.721153846153847</v>
      </c>
      <c r="K18" s="60">
        <v>86.884615384615387</v>
      </c>
      <c r="L18" s="209">
        <f t="shared" si="13"/>
        <v>666.11461538461538</v>
      </c>
      <c r="M18" s="204">
        <v>41.297246153846153</v>
      </c>
      <c r="N18" s="156">
        <v>9.6582269230769224</v>
      </c>
      <c r="O18" s="196">
        <v>9</v>
      </c>
      <c r="P18" s="196">
        <f t="shared" si="4"/>
        <v>20.45</v>
      </c>
      <c r="Q18" s="168">
        <f t="shared" si="5"/>
        <v>0.46628023076923081</v>
      </c>
      <c r="R18" s="197">
        <f t="shared" si="0"/>
        <v>19.983438461538462</v>
      </c>
      <c r="S18" s="213">
        <f t="shared" si="6"/>
        <v>30</v>
      </c>
      <c r="T18" s="158">
        <f t="shared" si="7"/>
        <v>636.11461538461538</v>
      </c>
      <c r="U18" s="204"/>
      <c r="V18" s="156"/>
      <c r="W18" s="196"/>
      <c r="X18" s="213"/>
      <c r="Y18" s="168">
        <f t="shared" si="8"/>
        <v>636.11461538461538</v>
      </c>
      <c r="Z18" s="168">
        <f t="shared" si="9"/>
        <v>666.11461538461538</v>
      </c>
      <c r="AA18" s="179">
        <f t="shared" si="10"/>
        <v>666.11461538461538</v>
      </c>
      <c r="AB18" s="187">
        <f t="shared" si="11"/>
        <v>666.11461538461538</v>
      </c>
      <c r="AC18" s="188">
        <f t="shared" si="1"/>
        <v>3.9966876923076922</v>
      </c>
      <c r="AD18" s="189">
        <f t="shared" si="2"/>
        <v>24.503026126923075</v>
      </c>
      <c r="AE18" s="224">
        <f t="shared" si="12"/>
        <v>39.966876923076924</v>
      </c>
    </row>
    <row r="19" spans="1:31" ht="14.25" thickTop="1" thickBot="1" x14ac:dyDescent="0.25">
      <c r="A19" s="29">
        <v>10</v>
      </c>
      <c r="B19" s="30">
        <v>99</v>
      </c>
      <c r="C19" s="21" t="s">
        <v>76</v>
      </c>
      <c r="D19" s="29" t="str">
        <f t="shared" si="3"/>
        <v>M</v>
      </c>
      <c r="E19" s="29">
        <f t="shared" si="3"/>
        <v>7</v>
      </c>
      <c r="F19" s="137">
        <v>40</v>
      </c>
      <c r="G19" s="138">
        <v>25</v>
      </c>
      <c r="H19" s="88">
        <v>1000</v>
      </c>
      <c r="I19" s="85">
        <v>0</v>
      </c>
      <c r="J19" s="85" t="s">
        <v>77</v>
      </c>
      <c r="K19" s="60">
        <v>0</v>
      </c>
      <c r="L19" s="209">
        <f t="shared" si="13"/>
        <v>1000</v>
      </c>
      <c r="M19" s="204">
        <v>62</v>
      </c>
      <c r="N19" s="156">
        <v>14.499999999999998</v>
      </c>
      <c r="O19" s="196">
        <v>22</v>
      </c>
      <c r="P19" s="196">
        <f t="shared" si="4"/>
        <v>30.7</v>
      </c>
      <c r="Q19" s="168">
        <f t="shared" si="5"/>
        <v>0.70000000000000007</v>
      </c>
      <c r="R19" s="197">
        <f t="shared" si="0"/>
        <v>30</v>
      </c>
      <c r="S19" s="213">
        <f t="shared" si="6"/>
        <v>80</v>
      </c>
      <c r="T19" s="158">
        <f t="shared" si="7"/>
        <v>920</v>
      </c>
      <c r="U19" s="204"/>
      <c r="V19" s="156"/>
      <c r="W19" s="196"/>
      <c r="X19" s="213"/>
      <c r="Y19" s="168">
        <f t="shared" si="8"/>
        <v>920</v>
      </c>
      <c r="Z19" s="168">
        <f t="shared" si="9"/>
        <v>1000</v>
      </c>
      <c r="AA19" s="179">
        <f t="shared" si="10"/>
        <v>1000</v>
      </c>
      <c r="AB19" s="187">
        <f t="shared" si="11"/>
        <v>1000</v>
      </c>
      <c r="AC19" s="188">
        <f t="shared" si="1"/>
        <v>6</v>
      </c>
      <c r="AD19" s="189">
        <f t="shared" si="2"/>
        <v>36.784999999999997</v>
      </c>
      <c r="AE19" s="224">
        <f t="shared" si="12"/>
        <v>60</v>
      </c>
    </row>
    <row r="20" spans="1:31" ht="14.25" thickTop="1" thickBot="1" x14ac:dyDescent="0.25">
      <c r="A20" s="28">
        <v>11</v>
      </c>
      <c r="B20" s="299" t="s">
        <v>78</v>
      </c>
      <c r="C20" s="300"/>
      <c r="D20" s="300"/>
      <c r="E20" s="300"/>
      <c r="F20" s="300"/>
      <c r="G20" s="300"/>
      <c r="H20" s="59">
        <v>7065.14</v>
      </c>
      <c r="I20" s="83"/>
      <c r="J20" s="31"/>
      <c r="K20" s="61">
        <f>SUM(K10:K19)</f>
        <v>479.12461538461537</v>
      </c>
      <c r="L20" s="115">
        <f>SUM(L10:L19)</f>
        <v>7544.2646153846154</v>
      </c>
      <c r="M20" s="205">
        <f>SUM(M10:M19)</f>
        <v>467.73994615384618</v>
      </c>
      <c r="N20" s="86">
        <f>SUM(N10:N19)</f>
        <v>109.39210692307692</v>
      </c>
      <c r="O20" s="198">
        <f>SUM(O10:O19)</f>
        <v>461</v>
      </c>
      <c r="P20" s="199">
        <f t="shared" ref="P20:S20" si="14">SUM(P10:P19)</f>
        <v>231.60999999999999</v>
      </c>
      <c r="Q20" s="182">
        <f>SUM(Q10:Q19)</f>
        <v>5.2809852307692307</v>
      </c>
      <c r="R20" s="198">
        <f>SUM(R10:R19)</f>
        <v>226.31893846153847</v>
      </c>
      <c r="S20" s="214">
        <f t="shared" si="14"/>
        <v>440</v>
      </c>
      <c r="U20" s="205"/>
      <c r="V20" s="86"/>
      <c r="W20" s="198"/>
      <c r="X20" s="221"/>
      <c r="Y20" s="168">
        <f t="shared" si="8"/>
        <v>7104.2646153846154</v>
      </c>
      <c r="Z20" s="168">
        <f t="shared" si="9"/>
        <v>7544.2646153846154</v>
      </c>
      <c r="AA20" s="179">
        <f t="shared" si="10"/>
        <v>7544.2646153846154</v>
      </c>
      <c r="AB20" s="187">
        <f>L20</f>
        <v>7544.2646153846154</v>
      </c>
      <c r="AC20" s="188">
        <f>SUM(AC10:AC19)</f>
        <v>45.26558769230769</v>
      </c>
      <c r="AD20" s="190">
        <f>SUM(AD10:AD19)</f>
        <v>277.51577387692305</v>
      </c>
      <c r="AE20" s="190">
        <f>SUM(AE10:AE19)</f>
        <v>452.6558769230769</v>
      </c>
    </row>
    <row r="21" spans="1:31" x14ac:dyDescent="0.2">
      <c r="A21" s="157"/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83"/>
      <c r="R21" s="170"/>
    </row>
    <row r="24" spans="1:31" ht="15" x14ac:dyDescent="0.3">
      <c r="A24" s="332" t="s">
        <v>90</v>
      </c>
      <c r="B24" s="333"/>
      <c r="C24" s="333"/>
      <c r="D24" s="334"/>
      <c r="H24">
        <f>515.2+24.15</f>
        <v>539.35</v>
      </c>
    </row>
    <row r="25" spans="1:31" ht="45.75" thickBot="1" x14ac:dyDescent="0.25">
      <c r="A25" s="45" t="s">
        <v>91</v>
      </c>
      <c r="B25" s="46" t="s">
        <v>80</v>
      </c>
      <c r="C25" s="46" t="s">
        <v>92</v>
      </c>
      <c r="D25" s="46" t="s">
        <v>93</v>
      </c>
    </row>
    <row r="26" spans="1:31" ht="14.25" thickBot="1" x14ac:dyDescent="0.25">
      <c r="A26" s="42">
        <v>11</v>
      </c>
      <c r="B26" s="43" t="s">
        <v>11</v>
      </c>
      <c r="C26" s="43">
        <v>1</v>
      </c>
      <c r="D26" s="44">
        <v>20</v>
      </c>
    </row>
    <row r="27" spans="1:31" ht="14.25" thickBot="1" x14ac:dyDescent="0.25">
      <c r="A27" s="42">
        <v>12</v>
      </c>
      <c r="B27" s="43" t="s">
        <v>11</v>
      </c>
      <c r="C27" s="43">
        <v>0</v>
      </c>
      <c r="D27" s="43">
        <v>50</v>
      </c>
    </row>
    <row r="28" spans="1:31" ht="14.25" thickBot="1" x14ac:dyDescent="0.25">
      <c r="A28" s="42">
        <v>13</v>
      </c>
      <c r="B28" s="43" t="s">
        <v>6</v>
      </c>
      <c r="C28" s="43">
        <v>2</v>
      </c>
      <c r="D28" s="43">
        <v>40</v>
      </c>
    </row>
    <row r="29" spans="1:31" ht="14.25" thickBot="1" x14ac:dyDescent="0.25">
      <c r="A29" s="42">
        <v>21</v>
      </c>
      <c r="B29" s="43" t="s">
        <v>6</v>
      </c>
      <c r="C29" s="43">
        <v>4</v>
      </c>
      <c r="D29" s="43">
        <v>50</v>
      </c>
    </row>
    <row r="30" spans="1:31" ht="14.25" thickBot="1" x14ac:dyDescent="0.25">
      <c r="A30" s="42">
        <v>22</v>
      </c>
      <c r="B30" s="43" t="s">
        <v>11</v>
      </c>
      <c r="C30" s="43">
        <v>2</v>
      </c>
      <c r="D30" s="43">
        <v>20</v>
      </c>
    </row>
    <row r="31" spans="1:31" ht="14.25" thickBot="1" x14ac:dyDescent="0.25">
      <c r="A31" s="42">
        <v>31</v>
      </c>
      <c r="B31" s="43" t="s">
        <v>6</v>
      </c>
      <c r="C31" s="43">
        <v>3</v>
      </c>
      <c r="D31" s="43">
        <v>40</v>
      </c>
    </row>
    <row r="32" spans="1:31" ht="14.25" thickBot="1" x14ac:dyDescent="0.25">
      <c r="A32" s="42">
        <v>32</v>
      </c>
      <c r="B32" s="43" t="s">
        <v>6</v>
      </c>
      <c r="C32" s="43">
        <v>6</v>
      </c>
      <c r="D32" s="43">
        <v>50</v>
      </c>
    </row>
    <row r="33" spans="1:4" ht="14.25" thickBot="1" x14ac:dyDescent="0.25">
      <c r="A33" s="42">
        <v>33</v>
      </c>
      <c r="B33" s="43" t="s">
        <v>11</v>
      </c>
      <c r="C33" s="43">
        <v>1</v>
      </c>
      <c r="D33" s="43">
        <v>60</v>
      </c>
    </row>
    <row r="34" spans="1:4" ht="14.25" thickBot="1" x14ac:dyDescent="0.25">
      <c r="A34" s="42">
        <v>51</v>
      </c>
      <c r="B34" s="43" t="s">
        <v>6</v>
      </c>
      <c r="C34" s="43">
        <v>5</v>
      </c>
      <c r="D34" s="43">
        <v>30</v>
      </c>
    </row>
    <row r="35" spans="1:4" ht="14.25" thickBot="1" x14ac:dyDescent="0.25">
      <c r="A35" s="42">
        <v>99</v>
      </c>
      <c r="B35" s="43" t="s">
        <v>6</v>
      </c>
      <c r="C35" s="43">
        <v>7</v>
      </c>
      <c r="D35" s="43">
        <v>80</v>
      </c>
    </row>
    <row r="36" spans="1:4" x14ac:dyDescent="0.2">
      <c r="D36" s="185"/>
    </row>
  </sheetData>
  <mergeCells count="24">
    <mergeCell ref="A2:O2"/>
    <mergeCell ref="A3:S3"/>
    <mergeCell ref="A4:S4"/>
    <mergeCell ref="B7:B9"/>
    <mergeCell ref="C7:C9"/>
    <mergeCell ref="D7:D9"/>
    <mergeCell ref="E7:E9"/>
    <mergeCell ref="F7:H7"/>
    <mergeCell ref="I7:K7"/>
    <mergeCell ref="B20:G20"/>
    <mergeCell ref="A24:D24"/>
    <mergeCell ref="U8:U9"/>
    <mergeCell ref="V8:V9"/>
    <mergeCell ref="F8:F9"/>
    <mergeCell ref="G8:G9"/>
    <mergeCell ref="I8:I9"/>
    <mergeCell ref="J8:J9"/>
    <mergeCell ref="M8:M9"/>
    <mergeCell ref="N8:N9"/>
    <mergeCell ref="Y7:AB7"/>
    <mergeCell ref="W7:X7"/>
    <mergeCell ref="M7:V7"/>
    <mergeCell ref="AC8:AC9"/>
    <mergeCell ref="AC7:AE7"/>
  </mergeCells>
  <pageMargins left="0.7" right="0.7" top="0.75" bottom="0.75" header="0.3" footer="0.3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2"/>
  <sheetViews>
    <sheetView tabSelected="1" workbookViewId="0">
      <selection activeCell="I47" sqref="I47"/>
    </sheetView>
  </sheetViews>
  <sheetFormatPr defaultRowHeight="12.75" x14ac:dyDescent="0.2"/>
  <cols>
    <col min="2" max="2" width="9.625" customWidth="1"/>
    <col min="3" max="3" width="17.75" customWidth="1"/>
    <col min="4" max="4" width="9.875" bestFit="1" customWidth="1"/>
    <col min="5" max="5" width="10.875" customWidth="1"/>
    <col min="6" max="6" width="13.375" customWidth="1"/>
    <col min="7" max="10" width="9" customWidth="1"/>
    <col min="11" max="12" width="10.625" bestFit="1" customWidth="1"/>
    <col min="13" max="14" width="9" customWidth="1"/>
    <col min="15" max="15" width="10.625" style="160" bestFit="1" customWidth="1"/>
    <col min="16" max="19" width="9" style="160" customWidth="1"/>
    <col min="20" max="20" width="0" hidden="1" customWidth="1"/>
    <col min="29" max="29" width="10.625" customWidth="1"/>
    <col min="31" max="31" width="10.875" bestFit="1" customWidth="1"/>
  </cols>
  <sheetData>
    <row r="1" spans="1:31" ht="25.15" customHeight="1" x14ac:dyDescent="0.3">
      <c r="A1" s="40" t="s">
        <v>116</v>
      </c>
      <c r="P1" s="170" t="s">
        <v>109</v>
      </c>
    </row>
    <row r="2" spans="1:31" x14ac:dyDescent="0.2">
      <c r="A2" s="306"/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186"/>
      <c r="Q2" s="186"/>
      <c r="R2" s="186"/>
      <c r="S2" s="186"/>
    </row>
    <row r="3" spans="1:31" x14ac:dyDescent="0.2">
      <c r="A3" s="335" t="s">
        <v>54</v>
      </c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6"/>
    </row>
    <row r="4" spans="1:31" ht="14.25" customHeight="1" x14ac:dyDescent="0.2">
      <c r="A4" s="335" t="s">
        <v>55</v>
      </c>
      <c r="B4" s="335"/>
      <c r="C4" s="335"/>
      <c r="D4" s="335"/>
      <c r="E4" s="335"/>
      <c r="F4" s="335"/>
      <c r="G4" s="335"/>
      <c r="H4" s="335"/>
      <c r="I4" s="335"/>
      <c r="J4" s="335"/>
      <c r="K4" s="335"/>
      <c r="L4" s="335"/>
      <c r="M4" s="335"/>
      <c r="N4" s="335"/>
      <c r="O4" s="335"/>
      <c r="P4" s="335"/>
      <c r="Q4" s="335"/>
      <c r="R4" s="335"/>
      <c r="S4" s="336"/>
    </row>
    <row r="5" spans="1:31" ht="13.5" thickBot="1" x14ac:dyDescent="0.25">
      <c r="A5" s="6"/>
      <c r="B5" s="147"/>
      <c r="C5" s="148" t="s">
        <v>56</v>
      </c>
      <c r="D5" s="65">
        <v>40915</v>
      </c>
      <c r="E5" s="148"/>
      <c r="F5" s="154"/>
      <c r="G5" s="149"/>
      <c r="H5" s="147"/>
      <c r="I5" s="147"/>
      <c r="J5" s="147"/>
      <c r="K5" s="147"/>
      <c r="L5" s="147"/>
      <c r="M5" s="147"/>
      <c r="N5" s="147"/>
      <c r="O5" s="161"/>
      <c r="P5" s="161"/>
      <c r="Q5" s="162"/>
      <c r="R5" s="162"/>
      <c r="S5" s="171"/>
      <c r="U5" s="147"/>
      <c r="V5" s="147"/>
      <c r="W5" s="161"/>
      <c r="X5" s="161"/>
      <c r="Y5" s="162"/>
      <c r="Z5" s="162"/>
      <c r="AA5" s="171"/>
      <c r="AB5" s="161"/>
      <c r="AC5" s="162"/>
      <c r="AD5" s="162"/>
      <c r="AE5" s="171"/>
    </row>
    <row r="6" spans="1:31" ht="14.25" customHeight="1" thickBot="1" x14ac:dyDescent="0.25">
      <c r="A6" s="23"/>
      <c r="B6" s="150"/>
      <c r="C6" s="151"/>
      <c r="D6" s="151"/>
      <c r="E6" s="151"/>
      <c r="F6" s="150"/>
      <c r="G6" s="152"/>
      <c r="H6" s="150"/>
      <c r="I6" s="150"/>
      <c r="J6" s="150"/>
      <c r="K6" s="150"/>
      <c r="L6" s="150"/>
      <c r="M6" s="153"/>
      <c r="N6" s="153"/>
      <c r="O6" s="191"/>
      <c r="P6" s="191"/>
      <c r="Q6" s="192"/>
      <c r="R6" s="192"/>
      <c r="S6" s="193"/>
      <c r="U6" s="153"/>
      <c r="V6" s="153"/>
      <c r="W6" s="163"/>
      <c r="X6" s="163"/>
      <c r="Y6" s="164"/>
      <c r="Z6" s="164"/>
      <c r="AA6" s="172"/>
      <c r="AB6" s="163"/>
      <c r="AC6" s="164"/>
      <c r="AD6" s="164"/>
      <c r="AE6" s="172"/>
    </row>
    <row r="7" spans="1:31" ht="14.25" customHeight="1" thickTop="1" thickBot="1" x14ac:dyDescent="0.25">
      <c r="A7" s="24"/>
      <c r="B7" s="308" t="s">
        <v>57</v>
      </c>
      <c r="C7" s="301" t="s">
        <v>61</v>
      </c>
      <c r="D7" s="337" t="s">
        <v>107</v>
      </c>
      <c r="E7" s="340" t="s">
        <v>81</v>
      </c>
      <c r="F7" s="311" t="s">
        <v>58</v>
      </c>
      <c r="G7" s="312"/>
      <c r="H7" s="313"/>
      <c r="I7" s="314" t="s">
        <v>59</v>
      </c>
      <c r="J7" s="312"/>
      <c r="K7" s="315"/>
      <c r="L7" s="25"/>
      <c r="M7" s="311" t="s">
        <v>60</v>
      </c>
      <c r="N7" s="312"/>
      <c r="O7" s="312"/>
      <c r="P7" s="312"/>
      <c r="Q7" s="312"/>
      <c r="R7" s="312"/>
      <c r="S7" s="312"/>
      <c r="T7" s="312"/>
      <c r="U7" s="312"/>
      <c r="V7" s="315"/>
      <c r="W7" s="311" t="s">
        <v>94</v>
      </c>
      <c r="X7" s="315"/>
      <c r="Y7" s="311" t="s">
        <v>95</v>
      </c>
      <c r="Z7" s="312"/>
      <c r="AA7" s="312"/>
      <c r="AB7" s="315"/>
      <c r="AC7" s="311" t="s">
        <v>96</v>
      </c>
      <c r="AD7" s="312"/>
      <c r="AE7" s="347"/>
    </row>
    <row r="8" spans="1:31" ht="25.5" customHeight="1" x14ac:dyDescent="0.2">
      <c r="A8" s="24"/>
      <c r="B8" s="309"/>
      <c r="C8" s="302"/>
      <c r="D8" s="338"/>
      <c r="E8" s="341"/>
      <c r="F8" s="326" t="s">
        <v>62</v>
      </c>
      <c r="G8" s="328" t="s">
        <v>63</v>
      </c>
      <c r="H8" s="25" t="s">
        <v>64</v>
      </c>
      <c r="I8" s="326" t="s">
        <v>62</v>
      </c>
      <c r="J8" s="328" t="s">
        <v>63</v>
      </c>
      <c r="K8" s="25" t="s">
        <v>64</v>
      </c>
      <c r="L8" s="206" t="s">
        <v>24</v>
      </c>
      <c r="M8" s="323" t="s">
        <v>65</v>
      </c>
      <c r="N8" s="325" t="s">
        <v>66</v>
      </c>
      <c r="O8" s="201" t="s">
        <v>84</v>
      </c>
      <c r="P8" s="201" t="s">
        <v>85</v>
      </c>
      <c r="Q8" s="217" t="s">
        <v>86</v>
      </c>
      <c r="R8" s="210" t="s">
        <v>87</v>
      </c>
      <c r="S8" s="211" t="s">
        <v>88</v>
      </c>
      <c r="U8" s="323" t="s">
        <v>110</v>
      </c>
      <c r="V8" s="325" t="s">
        <v>111</v>
      </c>
      <c r="W8" s="217" t="s">
        <v>112</v>
      </c>
      <c r="X8" s="218" t="s">
        <v>64</v>
      </c>
      <c r="Y8" s="173" t="s">
        <v>82</v>
      </c>
      <c r="Z8" s="173" t="s">
        <v>83</v>
      </c>
      <c r="AA8" s="174" t="s">
        <v>97</v>
      </c>
      <c r="AB8" s="222" t="s">
        <v>86</v>
      </c>
      <c r="AC8" s="345" t="s">
        <v>114</v>
      </c>
      <c r="AD8" s="210" t="s">
        <v>113</v>
      </c>
      <c r="AE8" s="232" t="s">
        <v>115</v>
      </c>
    </row>
    <row r="9" spans="1:31" ht="14.25" customHeight="1" thickBot="1" x14ac:dyDescent="0.25">
      <c r="A9" s="24"/>
      <c r="B9" s="310"/>
      <c r="C9" s="303"/>
      <c r="D9" s="339"/>
      <c r="E9" s="327"/>
      <c r="F9" s="327"/>
      <c r="G9" s="329"/>
      <c r="H9" s="33"/>
      <c r="I9" s="327"/>
      <c r="J9" s="329"/>
      <c r="K9" s="33"/>
      <c r="L9" s="207"/>
      <c r="M9" s="324"/>
      <c r="N9" s="303"/>
      <c r="O9" s="175"/>
      <c r="P9" s="166"/>
      <c r="Q9" s="225"/>
      <c r="R9" s="176"/>
      <c r="S9" s="202"/>
      <c r="T9" s="159" t="s">
        <v>108</v>
      </c>
      <c r="U9" s="331"/>
      <c r="V9" s="302"/>
      <c r="W9" s="219"/>
      <c r="X9" s="220"/>
      <c r="Y9" s="200"/>
      <c r="Z9" s="176"/>
      <c r="AA9" s="177"/>
      <c r="AB9" s="166"/>
      <c r="AC9" s="346"/>
      <c r="AD9" s="176"/>
      <c r="AE9" s="223" t="s">
        <v>89</v>
      </c>
    </row>
    <row r="10" spans="1:31" ht="14.25" thickTop="1" thickBot="1" x14ac:dyDescent="0.25">
      <c r="A10" s="80">
        <v>1</v>
      </c>
      <c r="B10" s="81">
        <v>11</v>
      </c>
      <c r="C10" s="82" t="s">
        <v>67</v>
      </c>
      <c r="D10" s="27" t="s">
        <v>11</v>
      </c>
      <c r="E10" s="27">
        <v>1</v>
      </c>
      <c r="F10" s="135">
        <v>40</v>
      </c>
      <c r="G10" s="136">
        <v>17.5</v>
      </c>
      <c r="H10" s="63">
        <f>F10*G10</f>
        <v>700</v>
      </c>
      <c r="I10" s="136">
        <v>0</v>
      </c>
      <c r="J10" s="90">
        <v>26.25</v>
      </c>
      <c r="K10" s="91">
        <v>0</v>
      </c>
      <c r="L10" s="208">
        <v>700</v>
      </c>
      <c r="M10" s="203">
        <v>43.4</v>
      </c>
      <c r="N10" s="155">
        <v>10.149999999999999</v>
      </c>
      <c r="O10" s="194">
        <v>76</v>
      </c>
      <c r="P10" s="194">
        <f>ROUND(L10*3.07%,2)</f>
        <v>21.49</v>
      </c>
      <c r="Q10" s="195">
        <f>L10*0.07%</f>
        <v>0.49000000000000005</v>
      </c>
      <c r="R10" s="195">
        <f t="shared" ref="R10:R19" si="0">L10 * 3%</f>
        <v>21</v>
      </c>
      <c r="S10" s="212">
        <v>20</v>
      </c>
      <c r="T10" s="158">
        <f>L10-S10</f>
        <v>680</v>
      </c>
      <c r="U10" s="231">
        <v>0.85</v>
      </c>
      <c r="V10" s="230">
        <v>1.65</v>
      </c>
      <c r="W10" s="260">
        <v>313</v>
      </c>
      <c r="X10" s="180">
        <f>L10-M10-N10-O10-P10-Q10-R10-S10-U10-V10</f>
        <v>504.97</v>
      </c>
      <c r="Y10" s="195">
        <f>L10</f>
        <v>700</v>
      </c>
      <c r="Z10" s="195">
        <f>L10</f>
        <v>700</v>
      </c>
      <c r="AA10" s="226">
        <f>L10</f>
        <v>700</v>
      </c>
      <c r="AB10" s="227">
        <f>L10</f>
        <v>700</v>
      </c>
      <c r="AC10" s="228">
        <f t="shared" ref="AC10:AC19" si="1">AA10*0.6%</f>
        <v>4.2</v>
      </c>
      <c r="AD10" s="212">
        <f t="shared" ref="AD10:AD19" si="2">AB10*3.6785%</f>
        <v>25.749499999999998</v>
      </c>
      <c r="AE10" s="229">
        <f>AA10*6%</f>
        <v>42</v>
      </c>
    </row>
    <row r="11" spans="1:31" ht="14.25" thickTop="1" thickBot="1" x14ac:dyDescent="0.25">
      <c r="A11" s="29">
        <v>2</v>
      </c>
      <c r="B11" s="30">
        <v>12</v>
      </c>
      <c r="C11" s="21" t="s">
        <v>68</v>
      </c>
      <c r="D11" s="29" t="s">
        <v>11</v>
      </c>
      <c r="E11" s="29">
        <v>0</v>
      </c>
      <c r="F11" s="137">
        <v>40</v>
      </c>
      <c r="G11" s="138">
        <v>17.25</v>
      </c>
      <c r="H11" s="84">
        <v>690</v>
      </c>
      <c r="I11" s="138">
        <v>8</v>
      </c>
      <c r="J11" s="85">
        <v>25.875</v>
      </c>
      <c r="K11" s="60">
        <v>207</v>
      </c>
      <c r="L11" s="209">
        <f>K11+H11</f>
        <v>897</v>
      </c>
      <c r="M11" s="204">
        <v>55.61</v>
      </c>
      <c r="N11" s="156">
        <v>13.007079999999998</v>
      </c>
      <c r="O11" s="196">
        <v>119</v>
      </c>
      <c r="P11" s="196">
        <f t="shared" ref="P11:P19" si="3">ROUND(L11*3.07%,2)</f>
        <v>27.54</v>
      </c>
      <c r="Q11" s="195">
        <f t="shared" ref="Q11:Q19" si="4">L11*0.07%</f>
        <v>0.62790000000000012</v>
      </c>
      <c r="R11" s="197">
        <f t="shared" si="0"/>
        <v>26.91</v>
      </c>
      <c r="S11" s="213">
        <v>50</v>
      </c>
      <c r="T11" s="158">
        <f t="shared" ref="T11:T19" si="5">L11-S11</f>
        <v>847</v>
      </c>
      <c r="U11" s="231">
        <v>0.85</v>
      </c>
      <c r="V11" s="230">
        <v>1.65</v>
      </c>
      <c r="W11" s="260">
        <v>314</v>
      </c>
      <c r="X11" s="180">
        <f t="shared" ref="X11:X19" si="6">L11-M11-N11-O11-P11-Q11-R11-S11-U11-V11</f>
        <v>601.80502000000013</v>
      </c>
      <c r="Y11" s="195">
        <f t="shared" ref="Y11:Y19" si="7">L11</f>
        <v>897</v>
      </c>
      <c r="Z11" s="195">
        <f t="shared" ref="Z11:Z20" si="8">L11</f>
        <v>897</v>
      </c>
      <c r="AA11" s="226">
        <f t="shared" ref="AA11:AA20" si="9">L11</f>
        <v>897</v>
      </c>
      <c r="AB11" s="227">
        <f t="shared" ref="AB11:AB19" si="10">L11</f>
        <v>897</v>
      </c>
      <c r="AC11" s="228">
        <f t="shared" si="1"/>
        <v>5.3819999999999997</v>
      </c>
      <c r="AD11" s="212">
        <f t="shared" si="2"/>
        <v>32.996144999999999</v>
      </c>
      <c r="AE11" s="229">
        <f t="shared" ref="AE11:AE19" si="11">AA11*6%</f>
        <v>53.82</v>
      </c>
    </row>
    <row r="12" spans="1:31" ht="14.25" customHeight="1" thickTop="1" thickBot="1" x14ac:dyDescent="0.25">
      <c r="A12" s="29">
        <v>3</v>
      </c>
      <c r="B12" s="30">
        <v>13</v>
      </c>
      <c r="C12" s="21" t="s">
        <v>69</v>
      </c>
      <c r="D12" s="29" t="s">
        <v>6</v>
      </c>
      <c r="E12" s="29">
        <v>2</v>
      </c>
      <c r="F12" s="137">
        <v>37.5</v>
      </c>
      <c r="G12" s="138">
        <v>18.100000000000001</v>
      </c>
      <c r="H12" s="84">
        <v>678.75</v>
      </c>
      <c r="I12" s="138">
        <v>0</v>
      </c>
      <c r="J12" s="85">
        <v>27.150000000000002</v>
      </c>
      <c r="K12" s="60">
        <v>0</v>
      </c>
      <c r="L12" s="209">
        <f t="shared" ref="L12:L19" si="12">K12+H12</f>
        <v>678.75</v>
      </c>
      <c r="M12" s="204">
        <v>42.082500000000003</v>
      </c>
      <c r="N12" s="156">
        <v>9.8418749999999999</v>
      </c>
      <c r="O12" s="196">
        <v>32</v>
      </c>
      <c r="P12" s="196">
        <f t="shared" si="3"/>
        <v>20.84</v>
      </c>
      <c r="Q12" s="195">
        <f t="shared" si="4"/>
        <v>0.47512500000000008</v>
      </c>
      <c r="R12" s="197">
        <f t="shared" si="0"/>
        <v>20.362500000000001</v>
      </c>
      <c r="S12" s="213">
        <v>40</v>
      </c>
      <c r="T12" s="158">
        <f t="shared" si="5"/>
        <v>638.75</v>
      </c>
      <c r="U12" s="231">
        <v>0.85</v>
      </c>
      <c r="V12" s="230">
        <v>1.65</v>
      </c>
      <c r="W12" s="260">
        <v>315</v>
      </c>
      <c r="X12" s="180">
        <f t="shared" si="6"/>
        <v>510.64800000000002</v>
      </c>
      <c r="Y12" s="195">
        <f t="shared" si="7"/>
        <v>678.75</v>
      </c>
      <c r="Z12" s="195">
        <f t="shared" si="8"/>
        <v>678.75</v>
      </c>
      <c r="AA12" s="226">
        <f t="shared" si="9"/>
        <v>678.75</v>
      </c>
      <c r="AB12" s="227">
        <f t="shared" si="10"/>
        <v>678.75</v>
      </c>
      <c r="AC12" s="228">
        <f t="shared" si="1"/>
        <v>4.0724999999999998</v>
      </c>
      <c r="AD12" s="212">
        <f t="shared" si="2"/>
        <v>24.967818749999999</v>
      </c>
      <c r="AE12" s="229">
        <f t="shared" si="11"/>
        <v>40.725000000000001</v>
      </c>
    </row>
    <row r="13" spans="1:31" ht="14.25" customHeight="1" thickTop="1" thickBot="1" x14ac:dyDescent="0.25">
      <c r="A13" s="29">
        <v>4</v>
      </c>
      <c r="B13" s="30">
        <v>21</v>
      </c>
      <c r="C13" s="21" t="s">
        <v>70</v>
      </c>
      <c r="D13" s="29" t="s">
        <v>6</v>
      </c>
      <c r="E13" s="29">
        <v>4</v>
      </c>
      <c r="F13" s="137">
        <v>40</v>
      </c>
      <c r="G13" s="138">
        <v>17.899999999999999</v>
      </c>
      <c r="H13" s="84">
        <v>716</v>
      </c>
      <c r="I13" s="138">
        <v>6</v>
      </c>
      <c r="J13" s="85">
        <v>26.849999999999998</v>
      </c>
      <c r="K13" s="60">
        <v>161.1</v>
      </c>
      <c r="L13" s="209">
        <f t="shared" si="12"/>
        <v>877.1</v>
      </c>
      <c r="M13" s="204">
        <v>54.380200000000002</v>
      </c>
      <c r="N13" s="156">
        <v>12.71795</v>
      </c>
      <c r="O13" s="196">
        <v>35</v>
      </c>
      <c r="P13" s="196">
        <f t="shared" si="3"/>
        <v>26.93</v>
      </c>
      <c r="Q13" s="195">
        <f t="shared" si="4"/>
        <v>0.61397000000000013</v>
      </c>
      <c r="R13" s="197">
        <f t="shared" si="0"/>
        <v>26.312999999999999</v>
      </c>
      <c r="S13" s="213">
        <v>50</v>
      </c>
      <c r="T13" s="158">
        <f t="shared" si="5"/>
        <v>827.1</v>
      </c>
      <c r="U13" s="231">
        <v>0.85</v>
      </c>
      <c r="V13" s="230">
        <v>1.65</v>
      </c>
      <c r="W13" s="260">
        <v>316</v>
      </c>
      <c r="X13" s="180">
        <f t="shared" si="6"/>
        <v>668.64488000000017</v>
      </c>
      <c r="Y13" s="195">
        <f t="shared" si="7"/>
        <v>877.1</v>
      </c>
      <c r="Z13" s="195">
        <f t="shared" si="8"/>
        <v>877.1</v>
      </c>
      <c r="AA13" s="226">
        <f t="shared" si="9"/>
        <v>877.1</v>
      </c>
      <c r="AB13" s="227">
        <f t="shared" si="10"/>
        <v>877.1</v>
      </c>
      <c r="AC13" s="228">
        <f t="shared" si="1"/>
        <v>5.2625999999999999</v>
      </c>
      <c r="AD13" s="212">
        <f t="shared" si="2"/>
        <v>32.264123499999997</v>
      </c>
      <c r="AE13" s="229">
        <f t="shared" si="11"/>
        <v>52.625999999999998</v>
      </c>
    </row>
    <row r="14" spans="1:31" ht="14.25" thickTop="1" thickBot="1" x14ac:dyDescent="0.25">
      <c r="A14" s="29">
        <v>5</v>
      </c>
      <c r="B14" s="30">
        <v>22</v>
      </c>
      <c r="C14" s="21" t="s">
        <v>71</v>
      </c>
      <c r="D14" s="29" t="s">
        <v>11</v>
      </c>
      <c r="E14" s="29">
        <v>2</v>
      </c>
      <c r="F14" s="137">
        <v>40</v>
      </c>
      <c r="G14" s="138">
        <v>19.75</v>
      </c>
      <c r="H14" s="84">
        <v>790</v>
      </c>
      <c r="I14" s="138">
        <v>0</v>
      </c>
      <c r="J14" s="85">
        <v>29.625</v>
      </c>
      <c r="K14" s="60">
        <v>0</v>
      </c>
      <c r="L14" s="209">
        <f t="shared" si="12"/>
        <v>790</v>
      </c>
      <c r="M14" s="204">
        <v>48.98</v>
      </c>
      <c r="N14" s="156">
        <v>11.455</v>
      </c>
      <c r="O14" s="196">
        <v>78</v>
      </c>
      <c r="P14" s="196">
        <f t="shared" si="3"/>
        <v>24.25</v>
      </c>
      <c r="Q14" s="195">
        <f t="shared" si="4"/>
        <v>0.55300000000000005</v>
      </c>
      <c r="R14" s="197">
        <f t="shared" si="0"/>
        <v>23.7</v>
      </c>
      <c r="S14" s="213">
        <v>20</v>
      </c>
      <c r="T14" s="158">
        <f t="shared" si="5"/>
        <v>770</v>
      </c>
      <c r="U14" s="231"/>
      <c r="V14" s="230">
        <v>1.65</v>
      </c>
      <c r="W14" s="260">
        <v>317</v>
      </c>
      <c r="X14" s="180">
        <f t="shared" si="6"/>
        <v>581.41199999999992</v>
      </c>
      <c r="Y14" s="195">
        <f t="shared" si="7"/>
        <v>790</v>
      </c>
      <c r="Z14" s="195">
        <f t="shared" si="8"/>
        <v>790</v>
      </c>
      <c r="AA14" s="226">
        <f t="shared" si="9"/>
        <v>790</v>
      </c>
      <c r="AB14" s="227">
        <f t="shared" si="10"/>
        <v>790</v>
      </c>
      <c r="AC14" s="228">
        <f t="shared" si="1"/>
        <v>4.74</v>
      </c>
      <c r="AD14" s="212">
        <f t="shared" si="2"/>
        <v>29.06015</v>
      </c>
      <c r="AE14" s="229">
        <f t="shared" si="11"/>
        <v>47.4</v>
      </c>
    </row>
    <row r="15" spans="1:31" ht="14.25" thickTop="1" thickBot="1" x14ac:dyDescent="0.25">
      <c r="A15" s="29">
        <v>6</v>
      </c>
      <c r="B15" s="30">
        <v>31</v>
      </c>
      <c r="C15" s="21" t="s">
        <v>72</v>
      </c>
      <c r="D15" s="29" t="s">
        <v>6</v>
      </c>
      <c r="E15" s="29">
        <v>3</v>
      </c>
      <c r="F15" s="137">
        <v>40</v>
      </c>
      <c r="G15" s="138">
        <v>12.875</v>
      </c>
      <c r="H15" s="84">
        <v>515</v>
      </c>
      <c r="I15" s="138">
        <v>1.25</v>
      </c>
      <c r="J15" s="85">
        <v>19.32</v>
      </c>
      <c r="K15" s="60">
        <v>24.14</v>
      </c>
      <c r="L15" s="209">
        <f t="shared" si="12"/>
        <v>539.14</v>
      </c>
      <c r="M15" s="204">
        <v>33.43</v>
      </c>
      <c r="N15" s="156">
        <v>7.8205749999999998</v>
      </c>
      <c r="O15" s="196">
        <v>10</v>
      </c>
      <c r="P15" s="196">
        <v>16.55</v>
      </c>
      <c r="Q15" s="195">
        <f t="shared" si="4"/>
        <v>0.37739800000000007</v>
      </c>
      <c r="R15" s="197">
        <v>16.170000000000002</v>
      </c>
      <c r="S15" s="213">
        <v>40</v>
      </c>
      <c r="T15" s="158">
        <f t="shared" si="5"/>
        <v>499.14</v>
      </c>
      <c r="U15" s="231">
        <v>0.85</v>
      </c>
      <c r="V15" s="230">
        <v>1.65</v>
      </c>
      <c r="W15" s="260">
        <v>318</v>
      </c>
      <c r="X15" s="180">
        <f t="shared" si="6"/>
        <v>412.29202699999991</v>
      </c>
      <c r="Y15" s="195">
        <f t="shared" si="7"/>
        <v>539.14</v>
      </c>
      <c r="Z15" s="195">
        <f t="shared" si="8"/>
        <v>539.14</v>
      </c>
      <c r="AA15" s="226">
        <f t="shared" si="9"/>
        <v>539.14</v>
      </c>
      <c r="AB15" s="227">
        <f t="shared" si="10"/>
        <v>539.14</v>
      </c>
      <c r="AC15" s="228">
        <f t="shared" si="1"/>
        <v>3.2348400000000002</v>
      </c>
      <c r="AD15" s="212">
        <f t="shared" si="2"/>
        <v>19.832264899999998</v>
      </c>
      <c r="AE15" s="229">
        <f t="shared" si="11"/>
        <v>32.348399999999998</v>
      </c>
    </row>
    <row r="16" spans="1:31" ht="14.25" thickTop="1" thickBot="1" x14ac:dyDescent="0.25">
      <c r="A16" s="29">
        <v>7</v>
      </c>
      <c r="B16" s="30">
        <v>32</v>
      </c>
      <c r="C16" s="21" t="s">
        <v>73</v>
      </c>
      <c r="D16" s="29" t="s">
        <v>6</v>
      </c>
      <c r="E16" s="29">
        <v>6</v>
      </c>
      <c r="F16" s="137">
        <v>40</v>
      </c>
      <c r="G16" s="138">
        <v>15.576923076923077</v>
      </c>
      <c r="H16" s="84">
        <v>623.08000000000004</v>
      </c>
      <c r="I16" s="138">
        <v>0</v>
      </c>
      <c r="J16" s="85">
        <v>23.365384615384613</v>
      </c>
      <c r="K16" s="60">
        <v>0</v>
      </c>
      <c r="L16" s="209">
        <f t="shared" si="12"/>
        <v>623.08000000000004</v>
      </c>
      <c r="M16" s="204">
        <v>38.630000000000003</v>
      </c>
      <c r="N16" s="156">
        <v>9.0299999999999994</v>
      </c>
      <c r="O16" s="196">
        <v>0</v>
      </c>
      <c r="P16" s="196">
        <f t="shared" si="3"/>
        <v>19.13</v>
      </c>
      <c r="Q16" s="195">
        <f t="shared" si="4"/>
        <v>0.4361560000000001</v>
      </c>
      <c r="R16" s="197">
        <v>18.690000000000001</v>
      </c>
      <c r="S16" s="213">
        <v>50</v>
      </c>
      <c r="T16" s="158">
        <f t="shared" si="5"/>
        <v>573.08000000000004</v>
      </c>
      <c r="U16" s="231">
        <v>0.85</v>
      </c>
      <c r="V16" s="230">
        <v>1.65</v>
      </c>
      <c r="W16" s="260">
        <v>319</v>
      </c>
      <c r="X16" s="180">
        <f t="shared" si="6"/>
        <v>484.66384400000004</v>
      </c>
      <c r="Y16" s="195">
        <f t="shared" si="7"/>
        <v>623.08000000000004</v>
      </c>
      <c r="Z16" s="195">
        <f t="shared" si="8"/>
        <v>623.08000000000004</v>
      </c>
      <c r="AA16" s="226">
        <f t="shared" si="9"/>
        <v>623.08000000000004</v>
      </c>
      <c r="AB16" s="227">
        <f t="shared" si="10"/>
        <v>623.08000000000004</v>
      </c>
      <c r="AC16" s="228">
        <f t="shared" si="1"/>
        <v>3.7384800000000005</v>
      </c>
      <c r="AD16" s="212">
        <f t="shared" si="2"/>
        <v>22.919997800000001</v>
      </c>
      <c r="AE16" s="229">
        <f t="shared" si="11"/>
        <v>37.384799999999998</v>
      </c>
    </row>
    <row r="17" spans="1:31" ht="14.25" thickTop="1" thickBot="1" x14ac:dyDescent="0.25">
      <c r="A17" s="29">
        <v>8</v>
      </c>
      <c r="B17" s="30">
        <v>33</v>
      </c>
      <c r="C17" s="21" t="s">
        <v>74</v>
      </c>
      <c r="D17" s="29" t="s">
        <v>11</v>
      </c>
      <c r="E17" s="29">
        <v>1</v>
      </c>
      <c r="F17" s="137">
        <v>40</v>
      </c>
      <c r="G17" s="138">
        <v>19.326923076923077</v>
      </c>
      <c r="H17" s="84">
        <v>773.08</v>
      </c>
      <c r="I17" s="138">
        <v>0</v>
      </c>
      <c r="J17" s="85">
        <v>28.990384615384613</v>
      </c>
      <c r="K17" s="60">
        <v>0</v>
      </c>
      <c r="L17" s="209">
        <f t="shared" si="12"/>
        <v>773.08</v>
      </c>
      <c r="M17" s="204">
        <v>47.93</v>
      </c>
      <c r="N17" s="156">
        <v>11.211399999999999</v>
      </c>
      <c r="O17" s="196">
        <v>80</v>
      </c>
      <c r="P17" s="196">
        <v>23.73</v>
      </c>
      <c r="Q17" s="195">
        <f t="shared" si="4"/>
        <v>0.54115600000000008</v>
      </c>
      <c r="R17" s="197">
        <v>23.19</v>
      </c>
      <c r="S17" s="213">
        <v>60</v>
      </c>
      <c r="T17" s="158">
        <f t="shared" si="5"/>
        <v>713.08</v>
      </c>
      <c r="U17" s="231">
        <v>0.85</v>
      </c>
      <c r="V17" s="230">
        <v>1.65</v>
      </c>
      <c r="W17" s="260">
        <v>320</v>
      </c>
      <c r="X17" s="180">
        <f t="shared" si="6"/>
        <v>523.97744399999999</v>
      </c>
      <c r="Y17" s="195">
        <f t="shared" si="7"/>
        <v>773.08</v>
      </c>
      <c r="Z17" s="195">
        <f t="shared" si="8"/>
        <v>773.08</v>
      </c>
      <c r="AA17" s="226">
        <f t="shared" si="9"/>
        <v>773.08</v>
      </c>
      <c r="AB17" s="227">
        <f t="shared" si="10"/>
        <v>773.08</v>
      </c>
      <c r="AC17" s="228">
        <f t="shared" si="1"/>
        <v>4.6384800000000004</v>
      </c>
      <c r="AD17" s="212">
        <f t="shared" si="2"/>
        <v>28.4377478</v>
      </c>
      <c r="AE17" s="229">
        <f t="shared" si="11"/>
        <v>46.384799999999998</v>
      </c>
    </row>
    <row r="18" spans="1:31" ht="14.25" thickTop="1" thickBot="1" x14ac:dyDescent="0.25">
      <c r="A18" s="29">
        <v>9</v>
      </c>
      <c r="B18" s="30">
        <v>51</v>
      </c>
      <c r="C18" s="21" t="s">
        <v>75</v>
      </c>
      <c r="D18" s="29" t="s">
        <v>6</v>
      </c>
      <c r="E18" s="29">
        <v>5</v>
      </c>
      <c r="F18" s="137">
        <v>40</v>
      </c>
      <c r="G18" s="138">
        <v>14.480769230769232</v>
      </c>
      <c r="H18" s="87">
        <v>579.23</v>
      </c>
      <c r="I18" s="138">
        <v>4</v>
      </c>
      <c r="J18" s="85">
        <v>21.721153846153847</v>
      </c>
      <c r="K18" s="60">
        <v>86.884615384615387</v>
      </c>
      <c r="L18" s="209">
        <f t="shared" si="12"/>
        <v>666.11461538461538</v>
      </c>
      <c r="M18" s="204">
        <v>41.297246153846153</v>
      </c>
      <c r="N18" s="156">
        <v>9.6582269230769224</v>
      </c>
      <c r="O18" s="196">
        <v>9</v>
      </c>
      <c r="P18" s="196">
        <f t="shared" si="3"/>
        <v>20.45</v>
      </c>
      <c r="Q18" s="195">
        <f t="shared" si="4"/>
        <v>0.46628023076923081</v>
      </c>
      <c r="R18" s="197">
        <f t="shared" si="0"/>
        <v>19.983438461538462</v>
      </c>
      <c r="S18" s="213">
        <v>30</v>
      </c>
      <c r="T18" s="158">
        <f t="shared" si="5"/>
        <v>636.11461538461538</v>
      </c>
      <c r="U18" s="231">
        <v>0.85</v>
      </c>
      <c r="V18" s="230">
        <v>1.65</v>
      </c>
      <c r="W18" s="260">
        <v>321</v>
      </c>
      <c r="X18" s="180">
        <f t="shared" si="6"/>
        <v>532.75942361538466</v>
      </c>
      <c r="Y18" s="195">
        <f t="shared" si="7"/>
        <v>666.11461538461538</v>
      </c>
      <c r="Z18" s="195">
        <f t="shared" si="8"/>
        <v>666.11461538461538</v>
      </c>
      <c r="AA18" s="226">
        <f t="shared" si="9"/>
        <v>666.11461538461538</v>
      </c>
      <c r="AB18" s="227">
        <f t="shared" si="10"/>
        <v>666.11461538461538</v>
      </c>
      <c r="AC18" s="228">
        <f t="shared" si="1"/>
        <v>3.9966876923076922</v>
      </c>
      <c r="AD18" s="212">
        <f t="shared" si="2"/>
        <v>24.503026126923075</v>
      </c>
      <c r="AE18" s="229">
        <f t="shared" si="11"/>
        <v>39.966876923076924</v>
      </c>
    </row>
    <row r="19" spans="1:31" s="56" customFormat="1" ht="14.25" thickTop="1" thickBot="1" x14ac:dyDescent="0.25">
      <c r="A19" s="238">
        <v>10</v>
      </c>
      <c r="B19" s="239">
        <v>99</v>
      </c>
      <c r="C19" s="240" t="s">
        <v>76</v>
      </c>
      <c r="D19" s="238" t="s">
        <v>6</v>
      </c>
      <c r="E19" s="238">
        <v>7</v>
      </c>
      <c r="F19" s="241">
        <v>40</v>
      </c>
      <c r="G19" s="242">
        <v>25</v>
      </c>
      <c r="H19" s="243">
        <v>1000</v>
      </c>
      <c r="I19" s="244">
        <v>0</v>
      </c>
      <c r="J19" s="244" t="s">
        <v>77</v>
      </c>
      <c r="K19" s="245">
        <v>0</v>
      </c>
      <c r="L19" s="246">
        <f t="shared" si="12"/>
        <v>1000</v>
      </c>
      <c r="M19" s="247">
        <v>62</v>
      </c>
      <c r="N19" s="248">
        <v>14.499999999999998</v>
      </c>
      <c r="O19" s="249">
        <v>22</v>
      </c>
      <c r="P19" s="249">
        <f t="shared" si="3"/>
        <v>30.7</v>
      </c>
      <c r="Q19" s="250">
        <f t="shared" si="4"/>
        <v>0.70000000000000007</v>
      </c>
      <c r="R19" s="251">
        <f t="shared" si="0"/>
        <v>30</v>
      </c>
      <c r="S19" s="252">
        <v>80</v>
      </c>
      <c r="T19" s="253">
        <f t="shared" si="5"/>
        <v>920</v>
      </c>
      <c r="U19" s="261"/>
      <c r="V19" s="254">
        <v>1.65</v>
      </c>
      <c r="W19" s="262">
        <v>322</v>
      </c>
      <c r="X19" s="263">
        <f t="shared" si="6"/>
        <v>758.44999999999993</v>
      </c>
      <c r="Y19" s="195">
        <f t="shared" si="7"/>
        <v>1000</v>
      </c>
      <c r="Z19" s="250">
        <f t="shared" si="8"/>
        <v>1000</v>
      </c>
      <c r="AA19" s="255">
        <f t="shared" si="9"/>
        <v>1000</v>
      </c>
      <c r="AB19" s="256">
        <f t="shared" si="10"/>
        <v>1000</v>
      </c>
      <c r="AC19" s="257">
        <f t="shared" si="1"/>
        <v>6</v>
      </c>
      <c r="AD19" s="258">
        <f t="shared" si="2"/>
        <v>36.784999999999997</v>
      </c>
      <c r="AE19" s="259">
        <f t="shared" si="11"/>
        <v>60</v>
      </c>
    </row>
    <row r="20" spans="1:31" ht="14.25" thickTop="1" thickBot="1" x14ac:dyDescent="0.25">
      <c r="A20" s="28">
        <v>11</v>
      </c>
      <c r="B20" s="319" t="s">
        <v>78</v>
      </c>
      <c r="C20" s="320"/>
      <c r="D20" s="320"/>
      <c r="E20" s="320"/>
      <c r="F20" s="320"/>
      <c r="G20" s="320"/>
      <c r="H20" s="59">
        <v>7065.14</v>
      </c>
      <c r="I20" s="83"/>
      <c r="J20" s="31"/>
      <c r="K20" s="61">
        <f>SUM(K10:K19)</f>
        <v>479.12461538461537</v>
      </c>
      <c r="L20" s="115">
        <f>SUM(L10:L19)</f>
        <v>7544.2646153846154</v>
      </c>
      <c r="M20" s="205">
        <f>SUM(M10:M19)</f>
        <v>467.73994615384618</v>
      </c>
      <c r="N20" s="234">
        <f>SUM(N10:N19)</f>
        <v>109.39210692307692</v>
      </c>
      <c r="O20" s="198">
        <f>SUM(O10:O19)</f>
        <v>461</v>
      </c>
      <c r="P20" s="199">
        <f t="shared" ref="P20:X20" si="13">SUM(P10:P19)</f>
        <v>231.60999999999999</v>
      </c>
      <c r="Q20" s="198">
        <f>SUM(Q10:Q19)</f>
        <v>5.2809852307692307</v>
      </c>
      <c r="R20" s="198">
        <f>SUM(R10:R19)</f>
        <v>226.31893846153847</v>
      </c>
      <c r="S20" s="214">
        <f t="shared" si="13"/>
        <v>440</v>
      </c>
      <c r="T20" s="214">
        <f t="shared" si="13"/>
        <v>7104.2646153846154</v>
      </c>
      <c r="U20" s="233">
        <f t="shared" si="13"/>
        <v>6.7999999999999989</v>
      </c>
      <c r="V20" s="233">
        <f t="shared" si="13"/>
        <v>16.5</v>
      </c>
      <c r="W20" s="233"/>
      <c r="X20" s="233">
        <f t="shared" si="13"/>
        <v>5579.6226386153849</v>
      </c>
      <c r="Y20" s="198">
        <f>L20</f>
        <v>7544.2646153846154</v>
      </c>
      <c r="Z20" s="198">
        <f t="shared" si="8"/>
        <v>7544.2646153846154</v>
      </c>
      <c r="AA20" s="235">
        <f t="shared" si="9"/>
        <v>7544.2646153846154</v>
      </c>
      <c r="AB20" s="236">
        <f>L20</f>
        <v>7544.2646153846154</v>
      </c>
      <c r="AC20" s="237">
        <f>SUM(AC10:AC19)</f>
        <v>45.26558769230769</v>
      </c>
      <c r="AD20" s="221">
        <f>SUM(AD10:AD19)</f>
        <v>277.51577387692305</v>
      </c>
      <c r="AE20" s="221">
        <f>SUM(AE10:AE19)</f>
        <v>452.6558769230769</v>
      </c>
    </row>
    <row r="21" spans="1:31" ht="13.5" thickBot="1" x14ac:dyDescent="0.25">
      <c r="A21" s="157"/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83"/>
      <c r="R21" s="170"/>
    </row>
    <row r="22" spans="1:31" x14ac:dyDescent="0.2">
      <c r="A22" s="353" t="s">
        <v>98</v>
      </c>
      <c r="B22" s="354"/>
      <c r="C22" s="354"/>
      <c r="D22" s="354"/>
      <c r="E22" s="354"/>
      <c r="F22" s="355"/>
    </row>
    <row r="23" spans="1:31" s="266" customFormat="1" ht="13.5" thickBot="1" x14ac:dyDescent="0.25">
      <c r="A23" s="356"/>
      <c r="B23" s="357"/>
      <c r="C23" s="357"/>
      <c r="D23" s="357"/>
      <c r="E23" s="357"/>
      <c r="F23" s="358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5"/>
    </row>
    <row r="24" spans="1:31" x14ac:dyDescent="0.2">
      <c r="A24" s="356"/>
      <c r="B24" s="357"/>
      <c r="C24" s="357"/>
      <c r="D24" s="357"/>
      <c r="E24" s="357"/>
      <c r="F24" s="358"/>
      <c r="H24" s="350" t="s">
        <v>121</v>
      </c>
      <c r="I24" s="351"/>
      <c r="J24" s="351"/>
      <c r="K24" s="351"/>
      <c r="L24" s="352"/>
    </row>
    <row r="25" spans="1:31" x14ac:dyDescent="0.2">
      <c r="A25" s="285"/>
      <c r="B25" s="286" t="s">
        <v>117</v>
      </c>
      <c r="C25" s="286" t="s">
        <v>118</v>
      </c>
      <c r="D25" s="286"/>
      <c r="E25" s="287" t="s">
        <v>119</v>
      </c>
      <c r="F25" s="288" t="s">
        <v>120</v>
      </c>
      <c r="H25" s="268" t="s">
        <v>58</v>
      </c>
      <c r="I25" s="56"/>
      <c r="J25" s="56"/>
      <c r="K25" s="269">
        <f>H20</f>
        <v>7065.14</v>
      </c>
      <c r="L25" s="270"/>
    </row>
    <row r="26" spans="1:31" x14ac:dyDescent="0.2">
      <c r="A26" s="285">
        <v>1</v>
      </c>
      <c r="B26" s="289">
        <v>41285</v>
      </c>
      <c r="C26" s="286" t="s">
        <v>132</v>
      </c>
      <c r="D26" s="286"/>
      <c r="E26" s="290">
        <f>SUM(F27:F36)</f>
        <v>7544.2646153846154</v>
      </c>
      <c r="F26" s="291"/>
      <c r="H26" s="268" t="s">
        <v>59</v>
      </c>
      <c r="I26" s="56"/>
      <c r="J26" s="56"/>
      <c r="K26" s="267">
        <f>K20</f>
        <v>479.12461538461537</v>
      </c>
      <c r="L26" s="270"/>
    </row>
    <row r="27" spans="1:31" ht="13.5" thickBot="1" x14ac:dyDescent="0.25">
      <c r="A27" s="285">
        <v>2</v>
      </c>
      <c r="B27" s="286"/>
      <c r="C27" s="292" t="s">
        <v>133</v>
      </c>
      <c r="D27" s="286"/>
      <c r="E27" s="286"/>
      <c r="F27" s="293">
        <f t="shared" ref="F27:F35" si="14">K28</f>
        <v>467.73994615384618</v>
      </c>
      <c r="H27" s="271" t="s">
        <v>24</v>
      </c>
      <c r="I27" s="272"/>
      <c r="J27" s="56"/>
      <c r="K27" s="272"/>
      <c r="L27" s="273">
        <f>K25+K26</f>
        <v>7544.2646153846154</v>
      </c>
    </row>
    <row r="28" spans="1:31" ht="13.5" thickTop="1" x14ac:dyDescent="0.2">
      <c r="A28" s="285">
        <v>3</v>
      </c>
      <c r="B28" s="286"/>
      <c r="C28" s="292" t="s">
        <v>140</v>
      </c>
      <c r="D28" s="286"/>
      <c r="E28" s="286"/>
      <c r="F28" s="293">
        <f t="shared" si="14"/>
        <v>109.39210692307692</v>
      </c>
      <c r="H28" s="268" t="s">
        <v>122</v>
      </c>
      <c r="I28" s="56"/>
      <c r="J28" s="56"/>
      <c r="K28" s="274">
        <f>M20</f>
        <v>467.73994615384618</v>
      </c>
      <c r="L28" s="270"/>
    </row>
    <row r="29" spans="1:31" x14ac:dyDescent="0.2">
      <c r="A29" s="285">
        <v>4</v>
      </c>
      <c r="B29" s="286"/>
      <c r="C29" s="292" t="s">
        <v>99</v>
      </c>
      <c r="D29" s="286"/>
      <c r="E29" s="286"/>
      <c r="F29" s="293">
        <f t="shared" si="14"/>
        <v>461</v>
      </c>
      <c r="H29" s="268" t="s">
        <v>123</v>
      </c>
      <c r="I29" s="56"/>
      <c r="J29" s="56"/>
      <c r="K29" s="275">
        <f>N20</f>
        <v>109.39210692307692</v>
      </c>
      <c r="L29" s="270"/>
    </row>
    <row r="30" spans="1:31" x14ac:dyDescent="0.2">
      <c r="A30" s="285">
        <v>5</v>
      </c>
      <c r="B30" s="286"/>
      <c r="C30" s="292" t="s">
        <v>105</v>
      </c>
      <c r="D30" s="286"/>
      <c r="E30" s="286"/>
      <c r="F30" s="293">
        <f t="shared" si="14"/>
        <v>5.2809852307692307</v>
      </c>
      <c r="H30" s="268" t="s">
        <v>124</v>
      </c>
      <c r="I30" s="56"/>
      <c r="J30" s="56"/>
      <c r="K30" s="275">
        <f>O20</f>
        <v>461</v>
      </c>
      <c r="L30" s="270"/>
    </row>
    <row r="31" spans="1:31" x14ac:dyDescent="0.2">
      <c r="A31" s="285">
        <v>6</v>
      </c>
      <c r="B31" s="286"/>
      <c r="C31" s="292" t="s">
        <v>134</v>
      </c>
      <c r="D31" s="286"/>
      <c r="E31" s="286"/>
      <c r="F31" s="293">
        <f t="shared" si="14"/>
        <v>231.60999999999999</v>
      </c>
      <c r="H31" s="268" t="s">
        <v>131</v>
      </c>
      <c r="I31" s="56"/>
      <c r="J31" s="56"/>
      <c r="K31" s="276">
        <f>Q20</f>
        <v>5.2809852307692307</v>
      </c>
      <c r="L31" s="270"/>
    </row>
    <row r="32" spans="1:31" x14ac:dyDescent="0.2">
      <c r="A32" s="285">
        <v>7</v>
      </c>
      <c r="B32" s="286"/>
      <c r="C32" s="292" t="s">
        <v>135</v>
      </c>
      <c r="D32" s="286"/>
      <c r="E32" s="286"/>
      <c r="F32" s="293">
        <f t="shared" si="14"/>
        <v>226.31893846153847</v>
      </c>
      <c r="H32" s="268" t="s">
        <v>125</v>
      </c>
      <c r="I32" s="56"/>
      <c r="J32" s="56"/>
      <c r="K32" s="275">
        <f>P20</f>
        <v>231.60999999999999</v>
      </c>
      <c r="L32" s="270"/>
    </row>
    <row r="33" spans="1:15" x14ac:dyDescent="0.2">
      <c r="A33" s="285">
        <v>8</v>
      </c>
      <c r="B33" s="286"/>
      <c r="C33" s="292" t="s">
        <v>100</v>
      </c>
      <c r="D33" s="286"/>
      <c r="E33" s="286"/>
      <c r="F33" s="293">
        <f t="shared" si="14"/>
        <v>440</v>
      </c>
      <c r="H33" s="268" t="s">
        <v>126</v>
      </c>
      <c r="I33" s="56"/>
      <c r="J33" s="56"/>
      <c r="K33" s="275">
        <f>R20</f>
        <v>226.31893846153847</v>
      </c>
      <c r="L33" s="270"/>
    </row>
    <row r="34" spans="1:15" x14ac:dyDescent="0.2">
      <c r="A34" s="285">
        <v>9</v>
      </c>
      <c r="B34" s="286"/>
      <c r="C34" s="292" t="s">
        <v>101</v>
      </c>
      <c r="D34" s="286"/>
      <c r="E34" s="286"/>
      <c r="F34" s="293">
        <f t="shared" si="14"/>
        <v>6.7999999999999989</v>
      </c>
      <c r="H34" s="268" t="s">
        <v>127</v>
      </c>
      <c r="I34" s="56"/>
      <c r="J34" s="56"/>
      <c r="K34" s="275">
        <f>S20</f>
        <v>440</v>
      </c>
      <c r="L34" s="270"/>
    </row>
    <row r="35" spans="1:15" x14ac:dyDescent="0.2">
      <c r="A35" s="285">
        <v>10</v>
      </c>
      <c r="B35" s="286"/>
      <c r="C35" s="292" t="s">
        <v>102</v>
      </c>
      <c r="D35" s="286"/>
      <c r="E35" s="286"/>
      <c r="F35" s="293">
        <f t="shared" si="14"/>
        <v>16.5</v>
      </c>
      <c r="H35" s="268" t="s">
        <v>110</v>
      </c>
      <c r="I35" s="56"/>
      <c r="J35" s="56"/>
      <c r="K35" s="275">
        <f>U20</f>
        <v>6.7999999999999989</v>
      </c>
      <c r="L35" s="270"/>
    </row>
    <row r="36" spans="1:15" x14ac:dyDescent="0.2">
      <c r="A36" s="285">
        <v>11</v>
      </c>
      <c r="B36" s="286"/>
      <c r="C36" s="292" t="s">
        <v>103</v>
      </c>
      <c r="D36" s="286"/>
      <c r="E36" s="286"/>
      <c r="F36" s="294">
        <f>L38</f>
        <v>5579.6226386153849</v>
      </c>
      <c r="H36" s="268" t="s">
        <v>111</v>
      </c>
      <c r="I36" s="56"/>
      <c r="J36" s="56"/>
      <c r="K36" s="267">
        <f>V20</f>
        <v>16.5</v>
      </c>
      <c r="L36" s="270"/>
      <c r="O36" s="160">
        <f>L20-S20</f>
        <v>7104.2646153846154</v>
      </c>
    </row>
    <row r="37" spans="1:15" x14ac:dyDescent="0.2">
      <c r="A37" s="285">
        <v>12</v>
      </c>
      <c r="B37" s="286"/>
      <c r="C37" s="348" t="s">
        <v>138</v>
      </c>
      <c r="D37" s="348"/>
      <c r="E37" s="348"/>
      <c r="F37" s="349"/>
      <c r="H37" s="277" t="s">
        <v>128</v>
      </c>
      <c r="I37" s="56"/>
      <c r="J37" s="56"/>
      <c r="K37" s="56"/>
      <c r="L37" s="278">
        <f>SUM(K28:K36)</f>
        <v>1964.6419767692305</v>
      </c>
      <c r="O37" s="160">
        <f>O36*6.2%</f>
        <v>440.46440615384614</v>
      </c>
    </row>
    <row r="38" spans="1:15" x14ac:dyDescent="0.2">
      <c r="A38" s="285">
        <v>13</v>
      </c>
      <c r="B38" s="286"/>
      <c r="C38" s="348"/>
      <c r="D38" s="348"/>
      <c r="E38" s="348"/>
      <c r="F38" s="349"/>
      <c r="H38" s="268" t="s">
        <v>129</v>
      </c>
      <c r="I38" s="56"/>
      <c r="J38" s="56"/>
      <c r="K38" s="56"/>
      <c r="L38" s="279">
        <f>L27-L37</f>
        <v>5579.6226386153849</v>
      </c>
    </row>
    <row r="39" spans="1:15" ht="13.5" thickBot="1" x14ac:dyDescent="0.25">
      <c r="A39" s="285">
        <v>14</v>
      </c>
      <c r="B39" s="286"/>
      <c r="C39" s="292"/>
      <c r="D39" s="286"/>
      <c r="E39" s="286"/>
      <c r="F39" s="291"/>
      <c r="H39" s="277" t="s">
        <v>130</v>
      </c>
      <c r="I39" s="56"/>
      <c r="J39" s="56"/>
      <c r="K39" s="56"/>
      <c r="L39" s="280">
        <f>L37+L38</f>
        <v>7544.2646153846154</v>
      </c>
    </row>
    <row r="40" spans="1:15" ht="14.25" thickTop="1" thickBot="1" x14ac:dyDescent="0.25">
      <c r="A40" s="285">
        <v>15</v>
      </c>
      <c r="B40" s="289">
        <v>41285</v>
      </c>
      <c r="C40" s="295" t="s">
        <v>139</v>
      </c>
      <c r="D40" s="286"/>
      <c r="E40" s="290">
        <f>SUM(F41:F44)</f>
        <v>899.91760464615379</v>
      </c>
      <c r="F40" s="291"/>
      <c r="H40" s="281"/>
      <c r="I40" s="282"/>
      <c r="J40" s="282"/>
      <c r="K40" s="282"/>
      <c r="L40" s="283"/>
    </row>
    <row r="41" spans="1:15" x14ac:dyDescent="0.2">
      <c r="A41" s="285">
        <v>16</v>
      </c>
      <c r="B41" s="286"/>
      <c r="C41" s="292" t="s">
        <v>133</v>
      </c>
      <c r="D41" s="286"/>
      <c r="E41" s="286"/>
      <c r="F41" s="293">
        <f>Y20*6.2%</f>
        <v>467.74440615384617</v>
      </c>
      <c r="H41" s="56"/>
      <c r="I41" s="56"/>
      <c r="J41" s="56"/>
      <c r="K41" s="56"/>
      <c r="L41" s="56"/>
    </row>
    <row r="42" spans="1:15" x14ac:dyDescent="0.2">
      <c r="A42" s="285">
        <v>17</v>
      </c>
      <c r="B42" s="286"/>
      <c r="C42" s="292" t="s">
        <v>133</v>
      </c>
      <c r="D42" s="286"/>
      <c r="E42" s="286"/>
      <c r="F42" s="293">
        <f>Z20*1.45%</f>
        <v>109.39183692307691</v>
      </c>
    </row>
    <row r="43" spans="1:15" x14ac:dyDescent="0.2">
      <c r="A43" s="285">
        <v>18</v>
      </c>
      <c r="B43" s="286"/>
      <c r="C43" s="292" t="s">
        <v>104</v>
      </c>
      <c r="D43" s="286"/>
      <c r="E43" s="286"/>
      <c r="F43" s="293">
        <f>AA20*0.6%</f>
        <v>45.26558769230769</v>
      </c>
    </row>
    <row r="44" spans="1:15" x14ac:dyDescent="0.2">
      <c r="A44" s="285">
        <v>19</v>
      </c>
      <c r="B44" s="286"/>
      <c r="C44" s="292" t="s">
        <v>105</v>
      </c>
      <c r="D44" s="286"/>
      <c r="E44" s="286"/>
      <c r="F44" s="293">
        <f>AB20*3.6785%</f>
        <v>277.51577387692305</v>
      </c>
    </row>
    <row r="45" spans="1:15" x14ac:dyDescent="0.2">
      <c r="A45" s="285">
        <v>20</v>
      </c>
      <c r="B45" s="286"/>
      <c r="C45" s="296" t="s">
        <v>136</v>
      </c>
      <c r="D45" s="286"/>
      <c r="E45" s="286"/>
      <c r="F45" s="291"/>
    </row>
    <row r="46" spans="1:15" x14ac:dyDescent="0.2">
      <c r="A46" s="285">
        <v>21</v>
      </c>
      <c r="B46" s="286"/>
      <c r="C46" s="286"/>
      <c r="D46" s="286"/>
      <c r="E46" s="286"/>
      <c r="F46" s="291"/>
    </row>
    <row r="47" spans="1:15" x14ac:dyDescent="0.2">
      <c r="A47" s="285">
        <v>22</v>
      </c>
      <c r="B47" s="289">
        <v>41287</v>
      </c>
      <c r="C47" s="286" t="s">
        <v>103</v>
      </c>
      <c r="D47" s="286"/>
      <c r="E47" s="297">
        <v>5579.62</v>
      </c>
      <c r="F47" s="291"/>
    </row>
    <row r="48" spans="1:15" x14ac:dyDescent="0.2">
      <c r="A48" s="285">
        <v>23</v>
      </c>
      <c r="B48" s="286"/>
      <c r="C48" s="292" t="s">
        <v>106</v>
      </c>
      <c r="D48" s="286"/>
      <c r="E48" s="286"/>
      <c r="F48" s="293">
        <v>5579.62</v>
      </c>
    </row>
    <row r="49" spans="1:11" x14ac:dyDescent="0.2">
      <c r="A49" s="285">
        <v>24</v>
      </c>
      <c r="B49" s="286"/>
      <c r="C49" s="296" t="s">
        <v>137</v>
      </c>
      <c r="D49" s="286"/>
      <c r="E49" s="286"/>
      <c r="F49" s="291"/>
    </row>
    <row r="52" spans="1:11" x14ac:dyDescent="0.2">
      <c r="K52" s="284"/>
    </row>
  </sheetData>
  <mergeCells count="26">
    <mergeCell ref="C37:F38"/>
    <mergeCell ref="V8:V9"/>
    <mergeCell ref="AC8:AC9"/>
    <mergeCell ref="B20:G20"/>
    <mergeCell ref="H24:L24"/>
    <mergeCell ref="A22:F24"/>
    <mergeCell ref="W7:X7"/>
    <mergeCell ref="Y7:AB7"/>
    <mergeCell ref="AC7:AE7"/>
    <mergeCell ref="F8:F9"/>
    <mergeCell ref="G8:G9"/>
    <mergeCell ref="I8:I9"/>
    <mergeCell ref="J8:J9"/>
    <mergeCell ref="M8:M9"/>
    <mergeCell ref="N8:N9"/>
    <mergeCell ref="U8:U9"/>
    <mergeCell ref="A2:O2"/>
    <mergeCell ref="A3:S3"/>
    <mergeCell ref="A4:S4"/>
    <mergeCell ref="B7:B9"/>
    <mergeCell ref="C7:C9"/>
    <mergeCell ref="D7:D9"/>
    <mergeCell ref="E7:E9"/>
    <mergeCell ref="F7:H7"/>
    <mergeCell ref="I7:K7"/>
    <mergeCell ref="M7:V7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Wage &amp; Hours Worked</vt:lpstr>
      <vt:lpstr>Wages and FICA Taxes</vt:lpstr>
      <vt:lpstr>FIT, SIT, and CITP Taxes</vt:lpstr>
      <vt:lpstr>SUTA and FUTA</vt:lpstr>
      <vt:lpstr>Journal Entries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William Beiser</dc:creator>
  <cp:keywords/>
  <dc:description/>
  <cp:lastModifiedBy>April Ausman</cp:lastModifiedBy>
  <cp:revision/>
  <dcterms:created xsi:type="dcterms:W3CDTF">2014-12-22T15:24:36Z</dcterms:created>
  <dcterms:modified xsi:type="dcterms:W3CDTF">2017-07-27T22:59:40Z</dcterms:modified>
  <cp:category/>
  <cp:contentStatus/>
</cp:coreProperties>
</file>